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Начальник ПЕВ\2019-2024 Фінансовий план підприєм\фінплан 2024\звіт за І квартал 2024\"/>
    </mc:Choice>
  </mc:AlternateContent>
  <xr:revisionPtr revIDLastSave="0" documentId="13_ncr:1_{76F34F40-28DA-428C-806A-B0A6069F66C1}" xr6:coauthVersionLast="47" xr6:coauthVersionMax="47" xr10:uidLastSave="{00000000-0000-0000-0000-000000000000}"/>
  <bookViews>
    <workbookView xWindow="-120" yWindow="-120" windowWidth="29040" windowHeight="15840" tabRatio="838" xr2:uid="{00000000-000D-0000-FFFF-FFFF00000000}"/>
  </bookViews>
  <sheets>
    <sheet name="Звіт про виконання показ фінпла" sheetId="14" r:id="rId1"/>
    <sheet name="Розшифровка 1 до Формування" sheetId="22" r:id="rId2"/>
    <sheet name="Розшифровка 2 до формування" sheetId="26" r:id="rId3"/>
    <sheet name="Розшифровка кап" sheetId="24" r:id="rId4"/>
    <sheet name="Розшифровка за джерелами" sheetId="9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'Звіт про виконання показ фінпла'!$4:$6</definedName>
    <definedName name="_xlnm.Print_Titles" localSheetId="1">'Розшифровка 1 до Формування'!$3:$4</definedName>
    <definedName name="_xlnm.Print_Titles" localSheetId="2">'Розшифровка 2 до формування'!$3:$4</definedName>
    <definedName name="_xlnm.Print_Titles" localSheetId="3">'Розшифровка кап'!$3:$4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'Звіт про виконання показ фінпла'!$A$1:$H$98</definedName>
    <definedName name="_xlnm.Print_Area" localSheetId="1">'Розшифровка 1 до Формування'!$A$1:$H$100</definedName>
    <definedName name="_xlnm.Print_Area" localSheetId="2">'Розшифровка 2 до формування'!$A$1:$H$172</definedName>
    <definedName name="_xlnm.Print_Area" localSheetId="4">'Розшифровка за джерелами'!$A$1:$N$20</definedName>
    <definedName name="_xlnm.Print_Area" localSheetId="3">'Розшифровка кап'!$A$1:$G$25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8" i="14" l="1"/>
  <c r="H75" i="14"/>
  <c r="G75" i="14"/>
  <c r="H74" i="14"/>
  <c r="G74" i="14"/>
  <c r="H73" i="14"/>
  <c r="G73" i="14"/>
  <c r="H98" i="22"/>
  <c r="G98" i="22"/>
  <c r="H97" i="22"/>
  <c r="G97" i="22"/>
  <c r="H96" i="22"/>
  <c r="G96" i="22"/>
  <c r="H93" i="22"/>
  <c r="G93" i="22"/>
  <c r="H92" i="22"/>
  <c r="G92" i="22"/>
  <c r="H91" i="22"/>
  <c r="G91" i="22"/>
  <c r="H86" i="22"/>
  <c r="G86" i="22"/>
  <c r="H85" i="22"/>
  <c r="G85" i="22"/>
  <c r="H84" i="22"/>
  <c r="G84" i="22"/>
  <c r="H83" i="22"/>
  <c r="G83" i="22"/>
  <c r="H82" i="22"/>
  <c r="G82" i="22"/>
  <c r="H80" i="22"/>
  <c r="G80" i="22"/>
  <c r="H79" i="22"/>
  <c r="G79" i="22"/>
  <c r="H78" i="22"/>
  <c r="G78" i="22"/>
  <c r="H75" i="22"/>
  <c r="G75" i="22"/>
  <c r="H74" i="22"/>
  <c r="G74" i="22"/>
  <c r="H73" i="22"/>
  <c r="G73" i="22"/>
  <c r="H72" i="22"/>
  <c r="G72" i="22"/>
  <c r="H71" i="22"/>
  <c r="G71" i="22"/>
  <c r="H70" i="22"/>
  <c r="G70" i="22"/>
  <c r="H69" i="22"/>
  <c r="G69" i="22"/>
  <c r="H68" i="22"/>
  <c r="G68" i="22"/>
  <c r="H67" i="22"/>
  <c r="G67" i="22"/>
  <c r="H66" i="22"/>
  <c r="G66" i="22"/>
  <c r="H65" i="22"/>
  <c r="G65" i="22"/>
  <c r="H64" i="22"/>
  <c r="G64" i="22"/>
  <c r="H63" i="22"/>
  <c r="G63" i="22"/>
  <c r="H62" i="22"/>
  <c r="G62" i="22"/>
  <c r="H61" i="22"/>
  <c r="G61" i="22"/>
  <c r="H60" i="22"/>
  <c r="G60" i="22"/>
  <c r="H59" i="22"/>
  <c r="G59" i="22"/>
  <c r="H58" i="22"/>
  <c r="G58" i="22"/>
  <c r="H57" i="22"/>
  <c r="G57" i="22"/>
  <c r="H56" i="22"/>
  <c r="G56" i="22"/>
  <c r="H54" i="22"/>
  <c r="G54" i="22"/>
  <c r="H53" i="22"/>
  <c r="G53" i="22"/>
  <c r="H51" i="22"/>
  <c r="G51" i="22"/>
  <c r="H43" i="22"/>
  <c r="G43" i="22"/>
  <c r="H40" i="22"/>
  <c r="G40" i="22"/>
  <c r="H39" i="22"/>
  <c r="G39" i="22"/>
  <c r="H36" i="22"/>
  <c r="G36" i="22"/>
  <c r="H35" i="22"/>
  <c r="G35" i="22"/>
  <c r="H32" i="22"/>
  <c r="G32" i="22"/>
  <c r="H31" i="22"/>
  <c r="G31" i="22"/>
  <c r="H25" i="22"/>
  <c r="G25" i="22"/>
  <c r="H24" i="22"/>
  <c r="G24" i="22"/>
  <c r="H22" i="22"/>
  <c r="G22" i="22"/>
  <c r="H19" i="22"/>
  <c r="G19" i="22"/>
  <c r="H18" i="22"/>
  <c r="G18" i="22"/>
  <c r="H17" i="22"/>
  <c r="G17" i="22"/>
  <c r="H14" i="22"/>
  <c r="G14" i="22"/>
  <c r="H13" i="22"/>
  <c r="G13" i="22"/>
  <c r="H11" i="22"/>
  <c r="G11" i="22"/>
  <c r="H10" i="22"/>
  <c r="G10" i="22"/>
  <c r="G19" i="26"/>
  <c r="H19" i="26" s="1"/>
  <c r="G13" i="26"/>
  <c r="H13" i="26" s="1"/>
  <c r="H46" i="26"/>
  <c r="G46" i="26"/>
  <c r="H45" i="26"/>
  <c r="G45" i="26"/>
  <c r="H44" i="26"/>
  <c r="G44" i="26"/>
  <c r="H43" i="26"/>
  <c r="G43" i="26"/>
  <c r="H42" i="26"/>
  <c r="G42" i="26"/>
  <c r="H41" i="26"/>
  <c r="G41" i="26"/>
  <c r="H51" i="26"/>
  <c r="G51" i="26"/>
  <c r="G23" i="24"/>
  <c r="F23" i="24"/>
  <c r="G22" i="24"/>
  <c r="F22" i="24"/>
  <c r="G20" i="24"/>
  <c r="F20" i="24"/>
  <c r="G19" i="24"/>
  <c r="F19" i="24"/>
  <c r="G18" i="24"/>
  <c r="F18" i="24"/>
  <c r="G17" i="24"/>
  <c r="F17" i="24"/>
  <c r="G16" i="24"/>
  <c r="F16" i="24"/>
  <c r="G15" i="24"/>
  <c r="F15" i="24"/>
  <c r="G14" i="24"/>
  <c r="F14" i="24"/>
  <c r="G13" i="24"/>
  <c r="F13" i="24"/>
  <c r="G12" i="24"/>
  <c r="F12" i="24"/>
  <c r="G11" i="24"/>
  <c r="F11" i="24"/>
  <c r="G10" i="24"/>
  <c r="F10" i="24"/>
  <c r="G9" i="24"/>
  <c r="F9" i="24"/>
  <c r="G8" i="24"/>
  <c r="F8" i="24"/>
  <c r="L10" i="9"/>
  <c r="M10" i="9" s="1"/>
  <c r="L9" i="9"/>
  <c r="M9" i="9" s="1"/>
  <c r="L8" i="9"/>
  <c r="N8" i="9" s="1"/>
  <c r="M8" i="9"/>
  <c r="L7" i="9"/>
  <c r="M7" i="9" s="1"/>
  <c r="N7" i="9" l="1"/>
  <c r="N10" i="9"/>
  <c r="N9" i="9"/>
  <c r="F59" i="14"/>
  <c r="F55" i="14"/>
  <c r="C46" i="14" l="1"/>
  <c r="F91" i="26" l="1"/>
  <c r="F86" i="26"/>
  <c r="I92" i="26"/>
  <c r="I91" i="26"/>
  <c r="I90" i="26"/>
  <c r="I89" i="26"/>
  <c r="E48" i="22"/>
  <c r="F168" i="26"/>
  <c r="F22" i="26"/>
  <c r="F16" i="22"/>
  <c r="F20" i="22"/>
  <c r="F15" i="22"/>
  <c r="H15" i="22" l="1"/>
  <c r="G15" i="22"/>
  <c r="G20" i="22"/>
  <c r="H20" i="22"/>
  <c r="H16" i="22"/>
  <c r="G16" i="22"/>
  <c r="D80" i="26"/>
  <c r="F74" i="26"/>
  <c r="E74" i="26"/>
  <c r="D74" i="26"/>
  <c r="M27" i="26"/>
  <c r="L27" i="26"/>
  <c r="M26" i="26"/>
  <c r="L26" i="26"/>
  <c r="M25" i="26"/>
  <c r="L25" i="26"/>
  <c r="K27" i="26"/>
  <c r="K26" i="26"/>
  <c r="K25" i="26"/>
  <c r="M19" i="26"/>
  <c r="L19" i="26"/>
  <c r="M18" i="26"/>
  <c r="L18" i="26"/>
  <c r="K19" i="26"/>
  <c r="K18" i="26"/>
  <c r="M13" i="26"/>
  <c r="M33" i="26" s="1"/>
  <c r="L13" i="26"/>
  <c r="L33" i="26" s="1"/>
  <c r="M12" i="26"/>
  <c r="L12" i="26"/>
  <c r="M11" i="26"/>
  <c r="L11" i="26"/>
  <c r="L31" i="26" s="1"/>
  <c r="K12" i="26"/>
  <c r="K11" i="26"/>
  <c r="M32" i="26" l="1"/>
  <c r="M31" i="26"/>
  <c r="K31" i="26"/>
  <c r="L32" i="26"/>
  <c r="K32" i="26"/>
  <c r="F64" i="14"/>
  <c r="F57" i="14"/>
  <c r="F52" i="14"/>
  <c r="F25" i="14"/>
  <c r="F22" i="14"/>
  <c r="F16" i="14"/>
  <c r="F9" i="14"/>
  <c r="F15" i="14" s="1"/>
  <c r="F31" i="14" s="1"/>
  <c r="F96" i="14"/>
  <c r="F95" i="14"/>
  <c r="F94" i="14"/>
  <c r="F89" i="14"/>
  <c r="F85" i="14"/>
  <c r="H15" i="9"/>
  <c r="H6" i="9"/>
  <c r="H17" i="9" s="1"/>
  <c r="J6" i="9"/>
  <c r="J17" i="9" s="1"/>
  <c r="F68" i="14" l="1"/>
  <c r="E21" i="24"/>
  <c r="E6" i="24"/>
  <c r="F55" i="22"/>
  <c r="D22" i="14"/>
  <c r="F52" i="22"/>
  <c r="D9" i="14"/>
  <c r="F41" i="22"/>
  <c r="F30" i="22"/>
  <c r="F37" i="22"/>
  <c r="F42" i="22"/>
  <c r="F47" i="22"/>
  <c r="F46" i="22"/>
  <c r="F45" i="22"/>
  <c r="F44" i="22"/>
  <c r="F90" i="22"/>
  <c r="F89" i="22"/>
  <c r="F88" i="22"/>
  <c r="F87" i="22"/>
  <c r="G90" i="22" l="1"/>
  <c r="H90" i="22"/>
  <c r="G44" i="22"/>
  <c r="H44" i="22"/>
  <c r="H88" i="22"/>
  <c r="G88" i="22"/>
  <c r="H47" i="22"/>
  <c r="G47" i="22"/>
  <c r="H52" i="22"/>
  <c r="G52" i="22"/>
  <c r="H89" i="22"/>
  <c r="G89" i="22"/>
  <c r="H42" i="22"/>
  <c r="G42" i="22"/>
  <c r="H37" i="22"/>
  <c r="G37" i="22"/>
  <c r="G55" i="22"/>
  <c r="H55" i="22"/>
  <c r="H30" i="22"/>
  <c r="G30" i="22"/>
  <c r="H45" i="22"/>
  <c r="G45" i="22"/>
  <c r="H41" i="22"/>
  <c r="G41" i="22"/>
  <c r="H87" i="22"/>
  <c r="G87" i="22"/>
  <c r="G46" i="22"/>
  <c r="H46" i="22"/>
  <c r="F50" i="22"/>
  <c r="F49" i="22"/>
  <c r="F38" i="22"/>
  <c r="F34" i="22"/>
  <c r="F33" i="22"/>
  <c r="F29" i="22"/>
  <c r="F9" i="26"/>
  <c r="E9" i="26"/>
  <c r="F145" i="26"/>
  <c r="F144" i="26" s="1"/>
  <c r="F142" i="26" s="1"/>
  <c r="F134" i="26"/>
  <c r="G38" i="22" l="1"/>
  <c r="H38" i="22"/>
  <c r="F48" i="22"/>
  <c r="H49" i="22"/>
  <c r="G49" i="22"/>
  <c r="G50" i="22"/>
  <c r="H50" i="22"/>
  <c r="G34" i="22"/>
  <c r="H34" i="22"/>
  <c r="H29" i="22"/>
  <c r="G29" i="22"/>
  <c r="H33" i="22"/>
  <c r="G33" i="22"/>
  <c r="F150" i="26"/>
  <c r="F156" i="26"/>
  <c r="F153" i="26" s="1"/>
  <c r="F108" i="26"/>
  <c r="F29" i="26"/>
  <c r="F58" i="26"/>
  <c r="F32" i="26"/>
  <c r="F31" i="26"/>
  <c r="F36" i="26"/>
  <c r="F34" i="26"/>
  <c r="F28" i="26"/>
  <c r="F25" i="26"/>
  <c r="F57" i="26"/>
  <c r="F60" i="26"/>
  <c r="F24" i="26"/>
  <c r="F27" i="26"/>
  <c r="F56" i="26"/>
  <c r="F30" i="26"/>
  <c r="F40" i="26"/>
  <c r="H40" i="26" l="1"/>
  <c r="G40" i="26"/>
  <c r="H58" i="26"/>
  <c r="G58" i="26"/>
  <c r="H48" i="22"/>
  <c r="G48" i="22"/>
  <c r="F149" i="26"/>
  <c r="F54" i="26"/>
  <c r="F6" i="22"/>
  <c r="F23" i="22"/>
  <c r="E6" i="22"/>
  <c r="E153" i="26"/>
  <c r="G156" i="26"/>
  <c r="H156" i="26"/>
  <c r="E48" i="26"/>
  <c r="E23" i="26"/>
  <c r="G16" i="26"/>
  <c r="H16" i="26" s="1"/>
  <c r="E95" i="14"/>
  <c r="G95" i="14" s="1"/>
  <c r="E94" i="14"/>
  <c r="E8" i="26" l="1"/>
  <c r="L14" i="26"/>
  <c r="E9" i="14"/>
  <c r="E15" i="14" s="1"/>
  <c r="E16" i="14"/>
  <c r="E22" i="14"/>
  <c r="E42" i="14" s="1"/>
  <c r="E25" i="14"/>
  <c r="E43" i="14"/>
  <c r="E31" i="14" l="1"/>
  <c r="E36" i="14" s="1"/>
  <c r="E39" i="14" s="1"/>
  <c r="E40" i="14"/>
  <c r="C6" i="24" l="1"/>
  <c r="D169" i="26"/>
  <c r="D168" i="26"/>
  <c r="D153" i="26"/>
  <c r="D139" i="26"/>
  <c r="D125" i="26"/>
  <c r="D103" i="26"/>
  <c r="D86" i="26"/>
  <c r="D69" i="26"/>
  <c r="D67" i="26" s="1"/>
  <c r="D57" i="26"/>
  <c r="D48" i="26"/>
  <c r="D36" i="26"/>
  <c r="D23" i="26" s="1"/>
  <c r="K14" i="26" s="1"/>
  <c r="D22" i="26"/>
  <c r="D17" i="26"/>
  <c r="D9" i="26" s="1"/>
  <c r="D95" i="22"/>
  <c r="D86" i="22"/>
  <c r="D85" i="22"/>
  <c r="D83" i="22"/>
  <c r="D82" i="22"/>
  <c r="D68" i="22"/>
  <c r="D66" i="22"/>
  <c r="D65" i="22"/>
  <c r="D64" i="22"/>
  <c r="D62" i="22"/>
  <c r="D60" i="22"/>
  <c r="D58" i="22"/>
  <c r="D57" i="22"/>
  <c r="D56" i="22"/>
  <c r="D55" i="22"/>
  <c r="D54" i="22"/>
  <c r="D53" i="22"/>
  <c r="D51" i="22"/>
  <c r="D50" i="22"/>
  <c r="D49" i="22"/>
  <c r="D47" i="22"/>
  <c r="D46" i="22"/>
  <c r="D45" i="22"/>
  <c r="D44" i="22"/>
  <c r="D42" i="22"/>
  <c r="D37" i="22"/>
  <c r="D32" i="22"/>
  <c r="D30" i="22"/>
  <c r="D20" i="22"/>
  <c r="D16" i="22"/>
  <c r="D14" i="22"/>
  <c r="D8" i="22"/>
  <c r="D7" i="22"/>
  <c r="C96" i="14"/>
  <c r="C95" i="14"/>
  <c r="C94" i="14"/>
  <c r="C89" i="14"/>
  <c r="C85" i="14"/>
  <c r="C81" i="14"/>
  <c r="C64" i="14"/>
  <c r="C57" i="14"/>
  <c r="C52" i="14"/>
  <c r="C25" i="14"/>
  <c r="C22" i="14"/>
  <c r="C16" i="14"/>
  <c r="C9" i="14"/>
  <c r="C15" i="14" s="1"/>
  <c r="C31" i="14" s="1"/>
  <c r="C36" i="14" s="1"/>
  <c r="C68" i="14" l="1"/>
  <c r="C93" i="14"/>
  <c r="D8" i="26"/>
  <c r="K13" i="26"/>
  <c r="K33" i="26" s="1"/>
  <c r="D6" i="22"/>
  <c r="D12" i="22"/>
  <c r="D48" i="22"/>
  <c r="F76" i="14"/>
  <c r="F72" i="14"/>
  <c r="G72" i="14" l="1"/>
  <c r="H72" i="14"/>
  <c r="H76" i="14"/>
  <c r="G76" i="14"/>
  <c r="G8" i="22"/>
  <c r="H9" i="22"/>
  <c r="G9" i="22"/>
  <c r="H8" i="22" l="1"/>
  <c r="F12" i="22"/>
  <c r="F69" i="26"/>
  <c r="F67" i="26" s="1"/>
  <c r="H170" i="26" l="1"/>
  <c r="G170" i="26"/>
  <c r="H168" i="26"/>
  <c r="G168" i="26"/>
  <c r="H164" i="26"/>
  <c r="G164" i="26"/>
  <c r="H160" i="26"/>
  <c r="G160" i="26"/>
  <c r="H159" i="26"/>
  <c r="G159" i="26"/>
  <c r="H158" i="26"/>
  <c r="G158" i="26"/>
  <c r="H157" i="26"/>
  <c r="G157" i="26"/>
  <c r="H155" i="26"/>
  <c r="G155" i="26"/>
  <c r="H154" i="26"/>
  <c r="G154" i="26"/>
  <c r="H152" i="26"/>
  <c r="G152" i="26"/>
  <c r="H151" i="26"/>
  <c r="G151" i="26"/>
  <c r="H146" i="26"/>
  <c r="G146" i="26"/>
  <c r="H142" i="26"/>
  <c r="G142" i="26"/>
  <c r="H141" i="26"/>
  <c r="G141" i="26"/>
  <c r="H140" i="26"/>
  <c r="G140" i="26"/>
  <c r="H133" i="26"/>
  <c r="G133" i="26"/>
  <c r="H132" i="26"/>
  <c r="G132" i="26"/>
  <c r="H131" i="26"/>
  <c r="G131" i="26"/>
  <c r="H130" i="26"/>
  <c r="G130" i="26"/>
  <c r="H129" i="26"/>
  <c r="G129" i="26"/>
  <c r="H128" i="26"/>
  <c r="G128" i="26"/>
  <c r="H127" i="26"/>
  <c r="G127" i="26"/>
  <c r="H126" i="26"/>
  <c r="G126" i="26"/>
  <c r="H120" i="26"/>
  <c r="G120" i="26"/>
  <c r="H71" i="26"/>
  <c r="G71" i="26"/>
  <c r="H70" i="26"/>
  <c r="G70" i="26"/>
  <c r="H66" i="26"/>
  <c r="G66" i="26"/>
  <c r="D138" i="26"/>
  <c r="D136" i="26" s="1"/>
  <c r="H104" i="26"/>
  <c r="G104" i="26"/>
  <c r="H103" i="26"/>
  <c r="G103" i="26"/>
  <c r="F102" i="26"/>
  <c r="F101" i="26" s="1"/>
  <c r="F99" i="26" s="1"/>
  <c r="E102" i="26"/>
  <c r="E101" i="26" s="1"/>
  <c r="E99" i="26" s="1"/>
  <c r="D102" i="26"/>
  <c r="D101" i="26" s="1"/>
  <c r="D99" i="26" s="1"/>
  <c r="H102" i="26" l="1"/>
  <c r="G102" i="26"/>
  <c r="H101" i="26" l="1"/>
  <c r="G101" i="26"/>
  <c r="I15" i="9"/>
  <c r="I6" i="9"/>
  <c r="I17" i="9" s="1"/>
  <c r="D6" i="24"/>
  <c r="D21" i="24"/>
  <c r="G21" i="24" l="1"/>
  <c r="F21" i="24"/>
  <c r="D5" i="24"/>
  <c r="H99" i="26"/>
  <c r="G99" i="26"/>
  <c r="F81" i="14"/>
  <c r="F93" i="14" s="1"/>
  <c r="D96" i="14"/>
  <c r="D95" i="14"/>
  <c r="D94" i="14"/>
  <c r="F42" i="14"/>
  <c r="F36" i="14"/>
  <c r="F39" i="14" s="1"/>
  <c r="F95" i="22"/>
  <c r="F43" i="14" l="1"/>
  <c r="F40" i="14" s="1"/>
  <c r="E12" i="22" l="1"/>
  <c r="E94" i="26"/>
  <c r="E150" i="26"/>
  <c r="E113" i="26"/>
  <c r="E69" i="26"/>
  <c r="H12" i="22" l="1"/>
  <c r="G12" i="22"/>
  <c r="G150" i="26"/>
  <c r="H150" i="26"/>
  <c r="E67" i="26"/>
  <c r="H69" i="26"/>
  <c r="G69" i="26"/>
  <c r="H67" i="26" l="1"/>
  <c r="G67" i="26"/>
  <c r="K17" i="9"/>
  <c r="L16" i="9"/>
  <c r="K16" i="9"/>
  <c r="L15" i="9"/>
  <c r="K15" i="9"/>
  <c r="L14" i="9"/>
  <c r="N14" i="9" s="1"/>
  <c r="K14" i="9"/>
  <c r="L13" i="9"/>
  <c r="K13" i="9"/>
  <c r="M13" i="9" s="1"/>
  <c r="L12" i="9"/>
  <c r="K12" i="9"/>
  <c r="L11" i="9"/>
  <c r="K11" i="9"/>
  <c r="M11" i="9" s="1"/>
  <c r="K6" i="9"/>
  <c r="L6" i="9"/>
  <c r="N16" i="9" l="1"/>
  <c r="M16" i="9"/>
  <c r="N11" i="9"/>
  <c r="N13" i="9"/>
  <c r="M14" i="9"/>
  <c r="M12" i="9"/>
  <c r="M15" i="9"/>
  <c r="N12" i="9"/>
  <c r="N15" i="9"/>
  <c r="N6" i="9"/>
  <c r="M6" i="9"/>
  <c r="F64" i="26"/>
  <c r="M28" i="26" s="1"/>
  <c r="F163" i="26"/>
  <c r="E163" i="26"/>
  <c r="D163" i="26"/>
  <c r="H163" i="26" l="1"/>
  <c r="G163" i="26"/>
  <c r="G153" i="26"/>
  <c r="H153" i="26"/>
  <c r="E145" i="26"/>
  <c r="D145" i="26"/>
  <c r="D144" i="26" s="1"/>
  <c r="F138" i="26"/>
  <c r="E139" i="26"/>
  <c r="F80" i="26"/>
  <c r="F79" i="26" s="1"/>
  <c r="F77" i="26" s="1"/>
  <c r="F136" i="26" l="1"/>
  <c r="E144" i="26"/>
  <c r="H145" i="26"/>
  <c r="G145" i="26"/>
  <c r="H125" i="26"/>
  <c r="G125" i="26"/>
  <c r="E138" i="26"/>
  <c r="E136" i="26" s="1"/>
  <c r="H139" i="26"/>
  <c r="G139" i="26"/>
  <c r="F94" i="26"/>
  <c r="F93" i="26" l="1"/>
  <c r="M21" i="26"/>
  <c r="H138" i="26"/>
  <c r="H144" i="26"/>
  <c r="G144" i="26"/>
  <c r="G138" i="26"/>
  <c r="H136" i="26"/>
  <c r="G136" i="26"/>
  <c r="E64" i="26"/>
  <c r="L28" i="26" s="1"/>
  <c r="F23" i="26"/>
  <c r="F8" i="26" l="1"/>
  <c r="M14" i="26"/>
  <c r="M34" i="26" s="1"/>
  <c r="C5" i="24"/>
  <c r="D161" i="26"/>
  <c r="D150" i="26"/>
  <c r="D124" i="26"/>
  <c r="D123" i="26" s="1"/>
  <c r="D121" i="26" s="1"/>
  <c r="D119" i="26"/>
  <c r="K17" i="26" s="1"/>
  <c r="D118" i="26"/>
  <c r="D116" i="26" s="1"/>
  <c r="D114" i="26"/>
  <c r="D113" i="26" s="1"/>
  <c r="D108" i="26"/>
  <c r="D107" i="26" s="1"/>
  <c r="D94" i="26"/>
  <c r="D93" i="26" s="1"/>
  <c r="D79" i="26"/>
  <c r="D72" i="26"/>
  <c r="D64" i="26"/>
  <c r="K28" i="26" s="1"/>
  <c r="D54" i="26"/>
  <c r="D23" i="22"/>
  <c r="D21" i="22"/>
  <c r="D57" i="14"/>
  <c r="C48" i="14"/>
  <c r="C42" i="14"/>
  <c r="H115" i="26"/>
  <c r="H81" i="26"/>
  <c r="G81" i="26"/>
  <c r="H49" i="26"/>
  <c r="H38" i="26"/>
  <c r="H22" i="26"/>
  <c r="H18" i="26"/>
  <c r="F17" i="9"/>
  <c r="L17" i="9" s="1"/>
  <c r="M17" i="9" s="1"/>
  <c r="D77" i="26" l="1"/>
  <c r="K21" i="26"/>
  <c r="K34" i="26" s="1"/>
  <c r="C43" i="14"/>
  <c r="C40" i="14" s="1"/>
  <c r="D61" i="26"/>
  <c r="K23" i="26" s="1"/>
  <c r="D85" i="26"/>
  <c r="D167" i="26"/>
  <c r="D165" i="26" s="1"/>
  <c r="D77" i="22"/>
  <c r="D47" i="26"/>
  <c r="K16" i="26" s="1"/>
  <c r="D149" i="26"/>
  <c r="D147" i="26" s="1"/>
  <c r="D105" i="26"/>
  <c r="D5" i="22"/>
  <c r="D81" i="22"/>
  <c r="D28" i="22"/>
  <c r="C39" i="14"/>
  <c r="D84" i="26" l="1"/>
  <c r="K10" i="26"/>
  <c r="K30" i="26" s="1"/>
  <c r="K35" i="26" s="1"/>
  <c r="D6" i="26"/>
  <c r="E5" i="24"/>
  <c r="D82" i="26" l="1"/>
  <c r="D5" i="26" s="1"/>
  <c r="K9" i="26"/>
  <c r="K8" i="26" s="1"/>
  <c r="G22" i="26"/>
  <c r="E23" i="22"/>
  <c r="H60" i="26"/>
  <c r="F118" i="26"/>
  <c r="G23" i="22" l="1"/>
  <c r="H23" i="22"/>
  <c r="F116" i="26"/>
  <c r="E96" i="14" l="1"/>
  <c r="E49" i="14" l="1"/>
  <c r="E48" i="14"/>
  <c r="E47" i="14"/>
  <c r="E46" i="14"/>
  <c r="E45" i="14"/>
  <c r="F49" i="14"/>
  <c r="F48" i="14"/>
  <c r="F47" i="14"/>
  <c r="F46" i="14"/>
  <c r="F45" i="14"/>
  <c r="D49" i="14"/>
  <c r="D47" i="14"/>
  <c r="D46" i="14"/>
  <c r="D45" i="14"/>
  <c r="C49" i="14"/>
  <c r="C47" i="14"/>
  <c r="C45" i="14"/>
  <c r="F81" i="22" l="1"/>
  <c r="F77" i="22"/>
  <c r="F48" i="26" l="1"/>
  <c r="F47" i="26" l="1"/>
  <c r="F61" i="26"/>
  <c r="G109" i="26" l="1"/>
  <c r="E21" i="22" l="1"/>
  <c r="E169" i="26" l="1"/>
  <c r="F169" i="26"/>
  <c r="M23" i="26" s="1"/>
  <c r="H169" i="26" l="1"/>
  <c r="G169" i="26"/>
  <c r="E77" i="22"/>
  <c r="H77" i="22" l="1"/>
  <c r="G77" i="22"/>
  <c r="D89" i="14"/>
  <c r="D85" i="14"/>
  <c r="D81" i="14"/>
  <c r="D93" i="14" l="1"/>
  <c r="F85" i="26" l="1"/>
  <c r="F84" i="26" l="1"/>
  <c r="D25" i="14"/>
  <c r="D42" i="14"/>
  <c r="D16" i="14"/>
  <c r="D15" i="14"/>
  <c r="D31" i="14" l="1"/>
  <c r="D36" i="14" s="1"/>
  <c r="D39" i="14" s="1"/>
  <c r="D43" i="14"/>
  <c r="D40" i="14" s="1"/>
  <c r="H13" i="14" l="1"/>
  <c r="F167" i="26"/>
  <c r="E167" i="26"/>
  <c r="E165" i="26" s="1"/>
  <c r="F165" i="26" l="1"/>
  <c r="G167" i="26"/>
  <c r="H167" i="26"/>
  <c r="H14" i="14"/>
  <c r="H53" i="14"/>
  <c r="H32" i="14"/>
  <c r="H27" i="14"/>
  <c r="H28" i="14"/>
  <c r="G7" i="24"/>
  <c r="H110" i="26"/>
  <c r="H111" i="26"/>
  <c r="H112" i="26"/>
  <c r="H109" i="26"/>
  <c r="H88" i="26"/>
  <c r="H89" i="26"/>
  <c r="H90" i="26"/>
  <c r="H91" i="26"/>
  <c r="H92" i="26"/>
  <c r="H86" i="26"/>
  <c r="H59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9" i="26"/>
  <c r="H24" i="26"/>
  <c r="G10" i="26"/>
  <c r="H10" i="26" s="1"/>
  <c r="G11" i="26"/>
  <c r="H11" i="26" s="1"/>
  <c r="G12" i="26"/>
  <c r="H12" i="26" s="1"/>
  <c r="G14" i="26"/>
  <c r="H14" i="26" s="1"/>
  <c r="G15" i="26"/>
  <c r="H15" i="26" s="1"/>
  <c r="H165" i="26" l="1"/>
  <c r="G165" i="26"/>
  <c r="E80" i="26"/>
  <c r="F113" i="26"/>
  <c r="M16" i="26" s="1"/>
  <c r="F7" i="24"/>
  <c r="H80" i="26" l="1"/>
  <c r="G80" i="26"/>
  <c r="E79" i="26"/>
  <c r="E77" i="26" s="1"/>
  <c r="N17" i="9" l="1"/>
  <c r="E161" i="26"/>
  <c r="F28" i="22"/>
  <c r="F107" i="26" l="1"/>
  <c r="F161" i="26"/>
  <c r="G35" i="26"/>
  <c r="F105" i="26" l="1"/>
  <c r="F6" i="26"/>
  <c r="H161" i="26"/>
  <c r="G161" i="26"/>
  <c r="F147" i="26"/>
  <c r="E108" i="26" l="1"/>
  <c r="E85" i="26"/>
  <c r="E54" i="26"/>
  <c r="L21" i="26" s="1"/>
  <c r="L34" i="26" s="1"/>
  <c r="E81" i="22"/>
  <c r="E84" i="26" l="1"/>
  <c r="G81" i="22"/>
  <c r="H81" i="22"/>
  <c r="E72" i="26"/>
  <c r="E107" i="26"/>
  <c r="H108" i="26"/>
  <c r="E105" i="26" l="1"/>
  <c r="H107" i="26"/>
  <c r="F124" i="26" l="1"/>
  <c r="E149" i="26"/>
  <c r="E124" i="26"/>
  <c r="L10" i="26" s="1"/>
  <c r="E119" i="26"/>
  <c r="L17" i="26" s="1"/>
  <c r="L30" i="26" s="1"/>
  <c r="L35" i="26" s="1"/>
  <c r="E61" i="26"/>
  <c r="L23" i="26" s="1"/>
  <c r="H20" i="26"/>
  <c r="H21" i="26"/>
  <c r="F123" i="26" l="1"/>
  <c r="M10" i="26"/>
  <c r="F121" i="26"/>
  <c r="M9" i="26"/>
  <c r="M8" i="26" s="1"/>
  <c r="E123" i="26"/>
  <c r="L9" i="26" s="1"/>
  <c r="E147" i="26"/>
  <c r="H149" i="26"/>
  <c r="G149" i="26"/>
  <c r="H124" i="26"/>
  <c r="G124" i="26"/>
  <c r="E118" i="26"/>
  <c r="G20" i="26"/>
  <c r="G21" i="26"/>
  <c r="H147" i="26" l="1"/>
  <c r="G147" i="26"/>
  <c r="H123" i="26"/>
  <c r="G123" i="26"/>
  <c r="G118" i="26"/>
  <c r="H118" i="26"/>
  <c r="E121" i="26"/>
  <c r="E116" i="26"/>
  <c r="F72" i="26"/>
  <c r="H7" i="22"/>
  <c r="G7" i="22"/>
  <c r="H82" i="14"/>
  <c r="H83" i="14"/>
  <c r="H84" i="14"/>
  <c r="H86" i="14"/>
  <c r="H87" i="14"/>
  <c r="H88" i="14"/>
  <c r="H90" i="14"/>
  <c r="H91" i="14"/>
  <c r="H92" i="14"/>
  <c r="G82" i="14"/>
  <c r="G83" i="14"/>
  <c r="G84" i="14"/>
  <c r="G86" i="14"/>
  <c r="G87" i="14"/>
  <c r="G88" i="14"/>
  <c r="G90" i="14"/>
  <c r="G91" i="14"/>
  <c r="G92" i="14"/>
  <c r="G71" i="14"/>
  <c r="G77" i="14"/>
  <c r="G53" i="14"/>
  <c r="G54" i="14"/>
  <c r="G55" i="14"/>
  <c r="G56" i="14"/>
  <c r="G58" i="14"/>
  <c r="G59" i="14"/>
  <c r="G60" i="14"/>
  <c r="G61" i="14"/>
  <c r="G62" i="14"/>
  <c r="G63" i="14"/>
  <c r="G65" i="14"/>
  <c r="G66" i="14"/>
  <c r="G67" i="14"/>
  <c r="G32" i="14"/>
  <c r="G33" i="14"/>
  <c r="G34" i="14"/>
  <c r="G35" i="14"/>
  <c r="G37" i="14"/>
  <c r="G38" i="14"/>
  <c r="G41" i="14"/>
  <c r="G26" i="14"/>
  <c r="G27" i="14"/>
  <c r="G28" i="14"/>
  <c r="G29" i="14"/>
  <c r="G13" i="14"/>
  <c r="G14" i="14"/>
  <c r="G121" i="26" l="1"/>
  <c r="H121" i="26"/>
  <c r="G116" i="26"/>
  <c r="H116" i="26"/>
  <c r="F119" i="26"/>
  <c r="M17" i="26" s="1"/>
  <c r="M30" i="26" s="1"/>
  <c r="M35" i="26" s="1"/>
  <c r="E93" i="26"/>
  <c r="E95" i="22"/>
  <c r="E28" i="22"/>
  <c r="F21" i="22"/>
  <c r="E5" i="22"/>
  <c r="F5" i="22" l="1"/>
  <c r="H21" i="22"/>
  <c r="G21" i="22"/>
  <c r="G28" i="22"/>
  <c r="H28" i="22"/>
  <c r="H95" i="22"/>
  <c r="G95" i="22"/>
  <c r="H119" i="26"/>
  <c r="G119" i="26"/>
  <c r="H79" i="26"/>
  <c r="G79" i="26"/>
  <c r="H23" i="26"/>
  <c r="F82" i="26"/>
  <c r="F5" i="26" s="1"/>
  <c r="G9" i="26"/>
  <c r="H9" i="26"/>
  <c r="E82" i="26"/>
  <c r="E47" i="26"/>
  <c r="L16" i="26" s="1"/>
  <c r="L8" i="26" s="1"/>
  <c r="E6" i="26" l="1"/>
  <c r="E5" i="26" s="1"/>
  <c r="G77" i="26"/>
  <c r="H34" i="14"/>
  <c r="E81" i="14" l="1"/>
  <c r="F50" i="14"/>
  <c r="F5" i="24"/>
  <c r="H61" i="26"/>
  <c r="G61" i="26"/>
  <c r="G60" i="26"/>
  <c r="G59" i="26"/>
  <c r="H57" i="26"/>
  <c r="G57" i="26"/>
  <c r="H56" i="26"/>
  <c r="G56" i="26"/>
  <c r="G55" i="26"/>
  <c r="H54" i="26"/>
  <c r="G54" i="26"/>
  <c r="G115" i="26"/>
  <c r="H114" i="26"/>
  <c r="G114" i="26"/>
  <c r="H113" i="26"/>
  <c r="G113" i="26"/>
  <c r="G112" i="26"/>
  <c r="G111" i="26"/>
  <c r="G110" i="26"/>
  <c r="G108" i="26"/>
  <c r="G107" i="26"/>
  <c r="H105" i="26"/>
  <c r="G105" i="26"/>
  <c r="H98" i="26"/>
  <c r="G98" i="26"/>
  <c r="H97" i="26"/>
  <c r="G97" i="26"/>
  <c r="H96" i="26"/>
  <c r="G96" i="26"/>
  <c r="H95" i="26"/>
  <c r="G95" i="26"/>
  <c r="H94" i="26"/>
  <c r="G94" i="26"/>
  <c r="H93" i="26"/>
  <c r="G93" i="26"/>
  <c r="G91" i="26"/>
  <c r="G90" i="26"/>
  <c r="G89" i="26"/>
  <c r="G88" i="26"/>
  <c r="G86" i="26"/>
  <c r="H85" i="26"/>
  <c r="G85" i="26"/>
  <c r="H84" i="26"/>
  <c r="G84" i="26"/>
  <c r="G83" i="26"/>
  <c r="G82" i="26"/>
  <c r="H76" i="26"/>
  <c r="G76" i="26"/>
  <c r="H75" i="26"/>
  <c r="G75" i="26"/>
  <c r="H72" i="26"/>
  <c r="G72" i="26"/>
  <c r="H53" i="26"/>
  <c r="G53" i="26"/>
  <c r="H52" i="26"/>
  <c r="G52" i="26"/>
  <c r="G50" i="26"/>
  <c r="H50" i="26" s="1"/>
  <c r="G49" i="26"/>
  <c r="H48" i="26"/>
  <c r="G48" i="26"/>
  <c r="H47" i="26"/>
  <c r="G47" i="26"/>
  <c r="G39" i="26"/>
  <c r="G38" i="26"/>
  <c r="G37" i="26"/>
  <c r="G36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G18" i="26"/>
  <c r="H17" i="26"/>
  <c r="G17" i="26"/>
  <c r="G5" i="26" l="1"/>
  <c r="H5" i="26"/>
  <c r="G94" i="14"/>
  <c r="H94" i="14"/>
  <c r="H96" i="14"/>
  <c r="G96" i="14"/>
  <c r="H81" i="14"/>
  <c r="G81" i="14"/>
  <c r="H95" i="14"/>
  <c r="G6" i="24"/>
  <c r="F6" i="24"/>
  <c r="G92" i="26"/>
  <c r="H82" i="26"/>
  <c r="G74" i="26"/>
  <c r="H74" i="26"/>
  <c r="G40" i="14" l="1"/>
  <c r="G39" i="14"/>
  <c r="G36" i="14"/>
  <c r="D70" i="14" l="1"/>
  <c r="D64" i="14"/>
  <c r="D52" i="14"/>
  <c r="D50" i="14"/>
  <c r="D68" i="14" l="1"/>
  <c r="H25" i="14"/>
  <c r="H16" i="14"/>
  <c r="G8" i="14"/>
  <c r="H8" i="14"/>
  <c r="G10" i="14"/>
  <c r="H10" i="14"/>
  <c r="G11" i="14"/>
  <c r="H11" i="14"/>
  <c r="G12" i="14"/>
  <c r="H12" i="14"/>
  <c r="G17" i="14"/>
  <c r="H17" i="14"/>
  <c r="G18" i="14"/>
  <c r="H18" i="14"/>
  <c r="G19" i="14"/>
  <c r="H19" i="14"/>
  <c r="G20" i="14"/>
  <c r="G21" i="14"/>
  <c r="H21" i="14"/>
  <c r="G23" i="14"/>
  <c r="G24" i="14"/>
  <c r="H24" i="14"/>
  <c r="G30" i="14"/>
  <c r="H30" i="14"/>
  <c r="H65" i="26"/>
  <c r="G65" i="26"/>
  <c r="H64" i="26"/>
  <c r="G64" i="26"/>
  <c r="H63" i="26"/>
  <c r="G63" i="26"/>
  <c r="G25" i="14" l="1"/>
  <c r="G16" i="14"/>
  <c r="H9" i="14"/>
  <c r="H15" i="14"/>
  <c r="G9" i="14"/>
  <c r="H42" i="14"/>
  <c r="G42" i="14"/>
  <c r="G22" i="14"/>
  <c r="H22" i="14"/>
  <c r="H31" i="14" l="1"/>
  <c r="G15" i="14"/>
  <c r="H43" i="14"/>
  <c r="G43" i="14"/>
  <c r="G31" i="14" l="1"/>
  <c r="H62" i="26" l="1"/>
  <c r="G62" i="26"/>
  <c r="H8" i="26"/>
  <c r="G8" i="26"/>
  <c r="G6" i="26"/>
  <c r="H6" i="22"/>
  <c r="G6" i="22"/>
  <c r="H5" i="22"/>
  <c r="G5" i="22"/>
  <c r="H6" i="26" l="1"/>
  <c r="E50" i="14" l="1"/>
  <c r="C50" i="14"/>
  <c r="H49" i="14"/>
  <c r="G49" i="14"/>
  <c r="H48" i="14"/>
  <c r="G48" i="14"/>
  <c r="H47" i="14"/>
  <c r="G47" i="14"/>
  <c r="H46" i="14"/>
  <c r="G46" i="14"/>
  <c r="H45" i="14"/>
  <c r="G45" i="14"/>
  <c r="E85" i="14"/>
  <c r="G85" i="14" l="1"/>
  <c r="H85" i="14"/>
  <c r="H50" i="14"/>
  <c r="G50" i="14"/>
  <c r="E89" i="14" l="1"/>
  <c r="E93" i="14" s="1"/>
  <c r="H89" i="14" l="1"/>
  <c r="G89" i="14"/>
  <c r="G5" i="24"/>
  <c r="H93" i="14" l="1"/>
  <c r="G93" i="14"/>
  <c r="H59" i="14"/>
  <c r="H66" i="14"/>
  <c r="H67" i="14"/>
  <c r="C70" i="14" l="1"/>
  <c r="E70" i="14"/>
  <c r="F70" i="14"/>
  <c r="G70" i="14" l="1"/>
  <c r="H70" i="14"/>
  <c r="E64" i="14"/>
  <c r="E57" i="14"/>
  <c r="E52" i="14"/>
  <c r="G64" i="14" l="1"/>
  <c r="G57" i="14"/>
  <c r="H64" i="14"/>
  <c r="H57" i="14"/>
  <c r="E68" i="14"/>
  <c r="H55" i="14" l="1"/>
  <c r="H52" i="14" l="1"/>
  <c r="G52" i="14"/>
  <c r="G68" i="14"/>
  <c r="H68" i="14" l="1"/>
</calcChain>
</file>

<file path=xl/sharedStrings.xml><?xml version="1.0" encoding="utf-8"?>
<sst xmlns="http://schemas.openxmlformats.org/spreadsheetml/2006/main" count="558" uniqueCount="336">
  <si>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</si>
  <si>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</si>
  <si>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</si>
  <si>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</si>
  <si>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</si>
  <si>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Інші операційні витрати</t>
  </si>
  <si>
    <t>№ з/п</t>
  </si>
  <si>
    <t>Усього</t>
  </si>
  <si>
    <t>(посада)</t>
  </si>
  <si>
    <t>(підпис)</t>
  </si>
  <si>
    <t>Інші операційні витрати, усього, у тому числі:</t>
  </si>
  <si>
    <t>податок на доходи фізичних осіб</t>
  </si>
  <si>
    <t>Фінансовий результат до оподаткування</t>
  </si>
  <si>
    <t xml:space="preserve">         (ініціали, прізвище)    </t>
  </si>
  <si>
    <t>(ініціали, прізвище)</t>
  </si>
  <si>
    <t>Основні фінансові показники</t>
  </si>
  <si>
    <t>Капітальні інвестиції</t>
  </si>
  <si>
    <t>Найменування об’єкта</t>
  </si>
  <si>
    <t>директор</t>
  </si>
  <si>
    <t>працівники</t>
  </si>
  <si>
    <t>Найменування показника</t>
  </si>
  <si>
    <t>адміністративно-управлінський персонал</t>
  </si>
  <si>
    <t>Валовий прибуток/збиток</t>
  </si>
  <si>
    <t>Інші доходи, усього, у тому числі:</t>
  </si>
  <si>
    <t>Витрати з податку на прибуток</t>
  </si>
  <si>
    <t>Дохід з податку на прибуток</t>
  </si>
  <si>
    <t>8000</t>
  </si>
  <si>
    <t>8001</t>
  </si>
  <si>
    <t>8002</t>
  </si>
  <si>
    <t>8003</t>
  </si>
  <si>
    <t>8010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</si>
  <si>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</si>
  <si>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</si>
  <si>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</si>
  <si>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податок на прибуток підприємств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</si>
  <si>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</si>
  <si>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</si>
  <si>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</si>
  <si>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земельний податок</t>
  </si>
  <si>
    <t>орендна плата</t>
  </si>
  <si>
    <t>Чистий фінансовий результат</t>
  </si>
  <si>
    <t xml:space="preserve">Прибуток </t>
  </si>
  <si>
    <t>Збиток</t>
  </si>
  <si>
    <t>Середньомісячні витрати на оплату праці одного працівника (грн), усього, у тому числі:</t>
  </si>
  <si>
    <t>Інші витрати (розшифрувати)</t>
  </si>
  <si>
    <t>тис. грн (без ПДВ)</t>
  </si>
  <si>
    <t>{Додаток 1 в редакції Наказу Міністерства економічного розвитку і торгівлі № 1394 від 03.11.2015}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</si>
  <si>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</si>
  <si>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</si>
  <si>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нараховано виплат</t>
  </si>
  <si>
    <t>Матеріальні витрати</t>
  </si>
  <si>
    <t>(тис. грн)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</si>
  <si>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</si>
  <si>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</si>
  <si>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 xml:space="preserve"> (посада)</t>
  </si>
  <si>
    <t>військовий збір</t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</si>
  <si>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</si>
  <si>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</si>
  <si>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</si>
  <si>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тис. грн</t>
  </si>
  <si>
    <t>Собівартість реалізованої продукції (товарів, робіт, послуг), усього, у тому числі:</t>
  </si>
  <si>
    <t>Матеріальні витрати (розшифрувати)</t>
  </si>
  <si>
    <t>Інші адміністративні витрати (розшифрувати)</t>
  </si>
  <si>
    <t>Інші операційні витрати (розшифрувати)</t>
  </si>
  <si>
    <t>придбання (виготовлення) інших необоротних матеріальних активів (розшифрувати)</t>
  </si>
  <si>
    <t>Фонд оплату праці</t>
  </si>
  <si>
    <t>8030</t>
  </si>
  <si>
    <t>Чистий дохід від реалізації продукції (товарів, робіт, послуг), усього, у тому числі:</t>
  </si>
  <si>
    <t>ДОХОДИ</t>
  </si>
  <si>
    <t>ВИТРАТИ</t>
  </si>
  <si>
    <t>ВСЬОГО ВИТРАТ:</t>
  </si>
  <si>
    <t>1.</t>
  </si>
  <si>
    <t>у т.ч. використано на:</t>
  </si>
  <si>
    <t>1.1</t>
  </si>
  <si>
    <t>1.2</t>
  </si>
  <si>
    <t>Адміністративні витрати, усього, у тому числі:</t>
  </si>
  <si>
    <t>Собівартість реалізованої продукції (товарів, робіт, послуг), усього, у т.ч.:</t>
  </si>
  <si>
    <t>Адміністративні витрати, усього, у т.ч.:</t>
  </si>
  <si>
    <t>2.</t>
  </si>
  <si>
    <t>Інші витрати, усього, у т.ч.:</t>
  </si>
  <si>
    <t>Розділ І. Формування фінансових результатів</t>
  </si>
  <si>
    <t>Розділ IІ. Розрахунки з бюджетом</t>
  </si>
  <si>
    <t>Розділ IV. Капітальні інвестиції</t>
  </si>
  <si>
    <t>Розділ VI. Дані про персонал та витрати на оплату праці</t>
  </si>
  <si>
    <t>Розшифровка №1 до розділу І "Формування фінансових результатів"</t>
  </si>
  <si>
    <t>Розшифровка до розділу  IV. "Капітальні інвестиції"</t>
  </si>
  <si>
    <t>4.</t>
  </si>
  <si>
    <t>5.</t>
  </si>
  <si>
    <t>6.1</t>
  </si>
  <si>
    <t>Матеріальні витрати, усього, у т.ч.:</t>
  </si>
  <si>
    <t>5.1</t>
  </si>
  <si>
    <t>факт</t>
  </si>
  <si>
    <t>відхилення, +/-</t>
  </si>
  <si>
    <t>виконання, 
%</t>
  </si>
  <si>
    <t>відхилення, %</t>
  </si>
  <si>
    <t>Відхилення, +,-</t>
  </si>
  <si>
    <t>Відхилення, %</t>
  </si>
  <si>
    <t>Усього доходів</t>
  </si>
  <si>
    <t>Усього видатків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</si>
  <si>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ОТГ</t>
  </si>
  <si>
    <t>Розшифровка №2 до розділу І "Формування фінансових результатів за джерелами доходів та використання коштів"</t>
  </si>
  <si>
    <t>Кошти державного бюджету від Національної служби здоров'я України</t>
  </si>
  <si>
    <t>Факт наростаючим підсумком з початку року</t>
  </si>
  <si>
    <t>Елементи операційних витрат:</t>
  </si>
  <si>
    <t>Залучення кредитних коштів</t>
  </si>
  <si>
    <t>Усього:</t>
  </si>
  <si>
    <t>кошти державного бюджету від Національної служби здоров'я України</t>
  </si>
  <si>
    <t>6.</t>
  </si>
  <si>
    <t>7.</t>
  </si>
  <si>
    <t xml:space="preserve">нарахування амортизації на безоплатно отримані активи </t>
  </si>
  <si>
    <t>медикаменти та перев'язувальні матеріали</t>
  </si>
  <si>
    <t xml:space="preserve">бланки медичні та бухгалтерські </t>
  </si>
  <si>
    <t>канцелярські товари</t>
  </si>
  <si>
    <t>передплата періодичних видань</t>
  </si>
  <si>
    <t>страхування водіїв, автотранспорту, на випадок СНіДу, членів добровільних пожежних дружин, на випадок гепатиту</t>
  </si>
  <si>
    <t>витрати на зв'язок</t>
  </si>
  <si>
    <t>послуги архіву</t>
  </si>
  <si>
    <t>послуги охорони</t>
  </si>
  <si>
    <t>метрологічна повірка медичного обладнання</t>
  </si>
  <si>
    <t>обслуговування ліфту</t>
  </si>
  <si>
    <t>сигналізація</t>
  </si>
  <si>
    <t>обстеження медичних працівників</t>
  </si>
  <si>
    <t>заходи по радіаційній безпеці</t>
  </si>
  <si>
    <t>оплата теплопостачання</t>
  </si>
  <si>
    <t xml:space="preserve">оплата водопостачання та водовідведення </t>
  </si>
  <si>
    <t>оплата електроенергії</t>
  </si>
  <si>
    <t>оплата інших енергоносіїв</t>
  </si>
  <si>
    <t>навчання у сфері цивільного захисту та охорони праці</t>
  </si>
  <si>
    <t>обстеження ургентних хворих (КТ)</t>
  </si>
  <si>
    <t>відшкодування пільгових пенсій</t>
  </si>
  <si>
    <t xml:space="preserve">продукти харчування </t>
  </si>
  <si>
    <t>Директор КНП "ВМКЛ ШМД"</t>
  </si>
  <si>
    <t xml:space="preserve">оплата природнього газу  </t>
  </si>
  <si>
    <t>лікарняні листи перші 5 днів</t>
  </si>
  <si>
    <t>Кошти отримані від реалізації майна</t>
  </si>
  <si>
    <t>9.</t>
  </si>
  <si>
    <t>10.</t>
  </si>
  <si>
    <t>Розшифровка до розділу  IV. "Капітальні інвестиції за джерелами надходження"</t>
  </si>
  <si>
    <t>папір</t>
  </si>
  <si>
    <t>миючі засоби</t>
  </si>
  <si>
    <t>будівельні матеріали</t>
  </si>
  <si>
    <t>господарські товари, енергозберігаючі лампочки</t>
  </si>
  <si>
    <t>м'який інвентар</t>
  </si>
  <si>
    <t>ТО диз.генератора, газового обладн., аварійного освітлення, перев.і випробування пожеж.гідрантів, ел.вимірювання</t>
  </si>
  <si>
    <t>оренда рентгенустановки</t>
  </si>
  <si>
    <t>Інші адміністративні витрати, в т.ч.:</t>
  </si>
  <si>
    <t>перезарядка картриджів</t>
  </si>
  <si>
    <t>ТО ПК, оргтехніки</t>
  </si>
  <si>
    <t>банківське обслуговування, обслуговування особового рахунку</t>
  </si>
  <si>
    <t>Інші адміністративні витрати, усього, у т.ч.:</t>
  </si>
  <si>
    <t>Собівартість реалізованої продукції (товарів, робіт, послуг):</t>
  </si>
  <si>
    <t>придбання (виготовлення) основних засобів, усього, у т.ч.:</t>
  </si>
  <si>
    <t>план</t>
  </si>
  <si>
    <t>кошти отримані від реалізації майна</t>
  </si>
  <si>
    <t>Інші фінансові доходи, усього, у тому числі:</t>
  </si>
  <si>
    <t>2.1</t>
  </si>
  <si>
    <t>інформаційно-консультативні послуги</t>
  </si>
  <si>
    <t>гістологічне дослідження (патанатомія)</t>
  </si>
  <si>
    <t>1.1.1</t>
  </si>
  <si>
    <t>1.1.2</t>
  </si>
  <si>
    <t>1.1.3</t>
  </si>
  <si>
    <t>1.2.1</t>
  </si>
  <si>
    <t>1.2.2</t>
  </si>
  <si>
    <t>1.2.3</t>
  </si>
  <si>
    <t>1.3</t>
  </si>
  <si>
    <t>2.1.2</t>
  </si>
  <si>
    <t>4.1</t>
  </si>
  <si>
    <t>4.1.1</t>
  </si>
  <si>
    <t>Кошти орендарів (відшкодування за енергоносії)</t>
  </si>
  <si>
    <t>9.1</t>
  </si>
  <si>
    <t>супровід програмного забезпечення</t>
  </si>
  <si>
    <t>навчання у сфері цивільного захисту, охорони праці</t>
  </si>
  <si>
    <t>обстеження мед.працівників</t>
  </si>
  <si>
    <t>Залишок матеріалів, придбаних у минулих періодах за рахунок коштів медичної субвенції з державного бюджету</t>
  </si>
  <si>
    <t>5.1.1</t>
  </si>
  <si>
    <t>6.1.1</t>
  </si>
  <si>
    <t>7.1</t>
  </si>
  <si>
    <t>7.1.1</t>
  </si>
  <si>
    <t>7.2</t>
  </si>
  <si>
    <t>8.1</t>
  </si>
  <si>
    <t>8.1.1</t>
  </si>
  <si>
    <t>предмети, матеріали, обладнання та інвентар</t>
  </si>
  <si>
    <t>відхилення, (+/-)</t>
  </si>
  <si>
    <t>відхилення, 
(%)</t>
  </si>
  <si>
    <r>
      <t xml:space="preserve">Кошти від власних надходжень </t>
    </r>
    <r>
      <rPr>
        <i/>
        <sz val="14"/>
        <rFont val="Times New Roman"/>
        <family val="1"/>
        <charset val="204"/>
      </rPr>
      <t>(стажування лікарів-інтернів та медичне обслуговування іноземних громадян)</t>
    </r>
  </si>
  <si>
    <r>
      <t xml:space="preserve">витрати, пов'язані з використанням автомобілів </t>
    </r>
    <r>
      <rPr>
        <i/>
        <sz val="14"/>
        <rFont val="Times New Roman"/>
        <family val="1"/>
        <charset val="204"/>
      </rPr>
      <t>(бензин, дизельне паливо)</t>
    </r>
  </si>
  <si>
    <t>витрати, пов'язані з використанням автомобілів (ТО, ремонт)</t>
  </si>
  <si>
    <t>страхування водіїв, автотранспорту, на випадок СНіДу, членів ДПД</t>
  </si>
  <si>
    <t>охоронні послуги</t>
  </si>
  <si>
    <t>метрологічна повірка медичного обладнання, повірка лічильників</t>
  </si>
  <si>
    <r>
      <t xml:space="preserve">витрати, пов'язані з використанням автомобілів </t>
    </r>
    <r>
      <rPr>
        <i/>
        <sz val="14"/>
        <rFont val="Times New Roman"/>
        <family val="1"/>
        <charset val="204"/>
      </rPr>
      <t>(технічне обслуговування та ремонт)</t>
    </r>
  </si>
  <si>
    <t>9.1.1</t>
  </si>
  <si>
    <t>бланки</t>
  </si>
  <si>
    <t>канцтовари</t>
  </si>
  <si>
    <t>Інші адміністративні витрати,усього, в т.ч.:</t>
  </si>
  <si>
    <t>Інші операційні витрати, усього, в т.ч.:</t>
  </si>
  <si>
    <t>Інші витрати, усього, в т.ч.:</t>
  </si>
  <si>
    <r>
      <t xml:space="preserve">кошти від власних надходжень </t>
    </r>
    <r>
      <rPr>
        <i/>
        <sz val="14"/>
        <rFont val="Times New Roman"/>
        <family val="1"/>
        <charset val="204"/>
      </rPr>
      <t>(стажування лікарів-інтернів та медичне обслуговування іноземних громадян)</t>
    </r>
  </si>
  <si>
    <r>
      <t>кошти орендарів</t>
    </r>
    <r>
      <rPr>
        <i/>
        <sz val="14"/>
        <rFont val="Times New Roman"/>
        <family val="1"/>
        <charset val="204"/>
      </rPr>
      <t xml:space="preserve"> (відшкодування за енергоносії)</t>
    </r>
  </si>
  <si>
    <t>1.3.2</t>
  </si>
  <si>
    <t>1.3.3</t>
  </si>
  <si>
    <t xml:space="preserve">Відрахування на соціальні заходи </t>
  </si>
  <si>
    <t>Нарахування амортизації на безоплатно отримані активи</t>
  </si>
  <si>
    <t>інші податки, збори та платежі (профспілкові внески)</t>
  </si>
  <si>
    <t>2.1.1</t>
  </si>
  <si>
    <t>Бюджетне фінансування (кошти ВМТГ)</t>
  </si>
  <si>
    <t>Інші джерела (кошти НСЗУ)</t>
  </si>
  <si>
    <t xml:space="preserve">Нараховані до сплати податки та збори до Державного бюджету України (податкові платежі) </t>
  </si>
  <si>
    <t>витрати на відрядження (проїзний - поповнення безконтактної неперсоніфікованої смарт - карти на проїзд)</t>
  </si>
  <si>
    <t>утилізація ламп, мед.відходів</t>
  </si>
  <si>
    <t>господарські товари, запчастини</t>
  </si>
  <si>
    <t>Амортизація основних засобів</t>
  </si>
  <si>
    <t>Капітальні інвестиції, усього, у тому числі:</t>
  </si>
  <si>
    <t>Директор КНП "ВМКЛШМД"</t>
  </si>
  <si>
    <t xml:space="preserve">Амортизація </t>
  </si>
  <si>
    <t>атестація робочих місць</t>
  </si>
  <si>
    <t>1.1.4</t>
  </si>
  <si>
    <r>
      <t xml:space="preserve">Чистий дохід від реалізації продукції (товарів, робіт, послуг) </t>
    </r>
    <r>
      <rPr>
        <sz val="16"/>
        <rFont val="Times New Roman"/>
        <family val="1"/>
        <charset val="204"/>
      </rPr>
      <t>(розшифрувати)</t>
    </r>
  </si>
  <si>
    <r>
      <t>Інші фінансові доходи</t>
    </r>
    <r>
      <rPr>
        <sz val="16"/>
        <rFont val="Times New Roman"/>
        <family val="1"/>
        <charset val="204"/>
      </rPr>
      <t xml:space="preserve"> (розшифрувати)</t>
    </r>
  </si>
  <si>
    <r>
      <rPr>
        <b/>
        <sz val="16"/>
        <rFont val="Times New Roman"/>
        <family val="1"/>
        <charset val="204"/>
      </rPr>
      <t>Фінансові витрати</t>
    </r>
    <r>
      <rPr>
        <sz val="16"/>
        <rFont val="Times New Roman"/>
        <family val="1"/>
        <charset val="204"/>
      </rPr>
      <t xml:space="preserve"> (розшифрувати)</t>
    </r>
  </si>
  <si>
    <r>
      <t>Інші доходи</t>
    </r>
    <r>
      <rPr>
        <sz val="16"/>
        <rFont val="Times New Roman"/>
        <family val="1"/>
        <charset val="204"/>
      </rPr>
      <t xml:space="preserve"> (розшифрувати)</t>
    </r>
  </si>
  <si>
    <r>
      <t xml:space="preserve">Інші витрати </t>
    </r>
    <r>
      <rPr>
        <sz val="16"/>
        <rFont val="Times New Roman"/>
        <family val="1"/>
        <charset val="204"/>
      </rPr>
      <t>(розшифрувати)</t>
    </r>
  </si>
  <si>
    <r>
      <t>придбання (виготовлення) основних засобів (розшифрувати)</t>
    </r>
    <r>
      <rPr>
        <i/>
        <sz val="16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</si>
  <si>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rFont val="Times New Roman"/>
        <family val="1"/>
        <charset val="204"/>
      </rPr>
      <t xml:space="preserve"> </t>
    </r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</si>
  <si>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</si>
  <si>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паливно-мастильні матеріали</t>
  </si>
  <si>
    <t>3.</t>
  </si>
  <si>
    <t>3.1</t>
  </si>
  <si>
    <t>3.1.1</t>
  </si>
  <si>
    <t>7.2.1</t>
  </si>
  <si>
    <t>11.</t>
  </si>
  <si>
    <t>11.1</t>
  </si>
  <si>
    <t>1.2.4</t>
  </si>
  <si>
    <t>1.3.1</t>
  </si>
  <si>
    <t>10.1</t>
  </si>
  <si>
    <t>10.1.1</t>
  </si>
  <si>
    <t>оплата за отримання ліцензії, держ.реєстрація статуту</t>
  </si>
  <si>
    <t>предмети, матеріали, обладнання, інвентар (принтери, меблі, сервер, акумул.батарея, картриджі, носилки, кліщі)</t>
  </si>
  <si>
    <t>господарські товари, енергозберігаючі лампочки, картриджі, запчастини</t>
  </si>
  <si>
    <t>за повідомлення про погодж.тарифу на проходження стажування лік.-інтернів ("Вінницька газета")</t>
  </si>
  <si>
    <t>5.2</t>
  </si>
  <si>
    <t>5.2.1</t>
  </si>
  <si>
    <t>Олександр ФОМІН</t>
  </si>
  <si>
    <t>Благодійні внески (натура)</t>
  </si>
  <si>
    <t xml:space="preserve">            (підпис)</t>
  </si>
  <si>
    <t>благодійні внески (натуральні поеказники)</t>
  </si>
  <si>
    <t>І квартал 2023 року</t>
  </si>
  <si>
    <t>Факт І кварталу 2023 року</t>
  </si>
  <si>
    <t>Факт І квартал 2023 року</t>
  </si>
  <si>
    <t>ремонт медичного та іншого обладнання</t>
  </si>
  <si>
    <t>інформ.-консультативні послуги; навчання</t>
  </si>
  <si>
    <t>господарські товари, енергозберігаючі лампочки, миючі засоби</t>
  </si>
  <si>
    <t>Благодійні внески (кошти)</t>
  </si>
  <si>
    <t>Централізоване постачання</t>
  </si>
  <si>
    <t>адвокадські послуги, що стосуються статутної діяльності</t>
  </si>
  <si>
    <t>Відшкодування в бюджет (за скоєння злочину)</t>
  </si>
  <si>
    <t>Інші операційні витрати, усього, у т.ч.:</t>
  </si>
  <si>
    <t>монітор мед.рідкокристалічний MDNC-2123</t>
  </si>
  <si>
    <t>система холтерівського моніторування ЕКГ "ECGpro Holter", комплект у складі 4 одиниць</t>
  </si>
  <si>
    <t>серевер ARTLINE для обслуговування МІС "Д-р Елекс"</t>
  </si>
  <si>
    <t>мережеве сховище інформації SYNOLOGY NASDS220+</t>
  </si>
  <si>
    <t>капітальний ремонт</t>
  </si>
  <si>
    <t>капітальний ремонт частини приміщень в рамках проекту EMERGENCY-2020 (під ангіограф), технічний нагляд за об'єктом</t>
  </si>
  <si>
    <t>Придбання (виготовлення) основних засобів, усього, у т.ч.:</t>
  </si>
  <si>
    <t>Капітальний ремонт, усього, у т.ч.:</t>
  </si>
  <si>
    <t>оплата послуг (крім комунальних): ремонт обладнання, поточні рем.та ін.</t>
  </si>
  <si>
    <r>
      <t>Кошти державного бюджету від Національної служби здоров'я України (</t>
    </r>
    <r>
      <rPr>
        <b/>
        <i/>
        <sz val="14"/>
        <rFont val="Times New Roman"/>
        <family val="1"/>
        <charset val="204"/>
      </rPr>
      <t>забезпечення кадрового потенціалу системи охорони здоров'я шляхом організації надання медичної допомоги із залученням лікарів-інтернів)</t>
    </r>
  </si>
  <si>
    <t>(    )</t>
  </si>
  <si>
    <t>виготовлення і встановлення металопластикових конструкцій</t>
  </si>
  <si>
    <t>інші операційні витрати</t>
  </si>
  <si>
    <t>система холтерівського моніторування ЕКГ</t>
  </si>
  <si>
    <t>Кошти  бюджету Вінницької міської територіальної громади (ВМТГ) (залишки минулих періодів)</t>
  </si>
  <si>
    <t>Кошти бюджету Вінницької міської територіальної громади (ВМТГ)</t>
  </si>
  <si>
    <t>8.</t>
  </si>
  <si>
    <t>3.1.2</t>
  </si>
  <si>
    <t>11.1.1</t>
  </si>
  <si>
    <t>13.</t>
  </si>
  <si>
    <t>13.1</t>
  </si>
  <si>
    <t>13.1.1</t>
  </si>
  <si>
    <t>13.1.2</t>
  </si>
  <si>
    <t>13.2</t>
  </si>
  <si>
    <t>13.2.1</t>
  </si>
  <si>
    <t>14.</t>
  </si>
  <si>
    <t>14.1</t>
  </si>
  <si>
    <t>14.1.1</t>
  </si>
  <si>
    <t>благодійні внески (кошти)</t>
  </si>
  <si>
    <t>централізоване постачання</t>
  </si>
  <si>
    <t xml:space="preserve">кошти бюджету Вінницької міської територіальної громади </t>
  </si>
  <si>
    <t>кошти бюджету Вінницької міської територіальної громади (залишки минулих періодів)</t>
  </si>
  <si>
    <r>
      <t>кошти державного бюджету від Національної служби здоров'я України (</t>
    </r>
    <r>
      <rPr>
        <i/>
        <sz val="14"/>
        <rFont val="Times New Roman"/>
        <family val="1"/>
        <charset val="204"/>
      </rPr>
      <t>забезпечення кадрового потенціалу системи охорони здоров'я шляхом організації надання медичної допомоги із залученням лікарів-інтернів</t>
    </r>
    <r>
      <rPr>
        <sz val="14"/>
        <rFont val="Times New Roman"/>
        <family val="1"/>
        <charset val="204"/>
      </rPr>
      <t>)</t>
    </r>
  </si>
  <si>
    <t>кошти з відшкодування по нещасним випадкам на виробництві і за скоєння злочину</t>
  </si>
  <si>
    <t>15.</t>
  </si>
  <si>
    <t>15.1</t>
  </si>
  <si>
    <t>15.2</t>
  </si>
  <si>
    <t xml:space="preserve">ЗВІТ
 про виконання показників фінансового плану Комунального некомерційного підприємства                             "Вінницька міська клінічна лікарня швидкої медичної допомоги"
за І квартал 2024 року   </t>
  </si>
  <si>
    <t>І квартал 2024 року</t>
  </si>
  <si>
    <t>Звітний період І квартал 2024 року</t>
  </si>
  <si>
    <t>Факт                             І квартал 2024 року</t>
  </si>
  <si>
    <t>План                      І квартал 2024 року</t>
  </si>
  <si>
    <t>План І квартал 2024 року</t>
  </si>
  <si>
    <t>Факт І кварталу 2024 року</t>
  </si>
  <si>
    <t>Факт І квартал 2024 року</t>
  </si>
  <si>
    <t>4</t>
  </si>
  <si>
    <t>2</t>
  </si>
  <si>
    <t>оприбуткування активів від ліквідації</t>
  </si>
  <si>
    <t>лабораторні дослідження</t>
  </si>
  <si>
    <t>оцінка енергоефективності будівель, ТО системи киснезабезпечення, проект біологічного захисту операційної, розробка конструкцій для портативних аспіраторів, експертиза проект.-кошторис.докум.по об'єкту "кап.рем.мереж водопостачання"</t>
  </si>
  <si>
    <t>медінфсист. "Д-р Елекс", надання доступу до мережі інтернет, послуги провайдерів</t>
  </si>
  <si>
    <t>господарські товари, енергозберігаючі лампочки, картриджі, миючі засоби</t>
  </si>
  <si>
    <r>
      <t xml:space="preserve">паливно-мастильні матеріали  </t>
    </r>
    <r>
      <rPr>
        <sz val="14"/>
        <color rgb="FFFF0000"/>
        <rFont val="Times New Roman"/>
        <family val="1"/>
        <charset val="204"/>
      </rPr>
      <t xml:space="preserve"> </t>
    </r>
  </si>
  <si>
    <t>Надходження від відсотків за залишками коштів на рахунках</t>
  </si>
  <si>
    <t>5</t>
  </si>
  <si>
    <t>надходження від відсотків за залишками коштів на  рахунках</t>
  </si>
  <si>
    <t>оплата послуг (крім комунальних): цілодобове пожежне спостереження, обслуговув.системи протипож.захисту, енергомоніторинг, наглядов.аудит за сист.упр.якістю</t>
  </si>
  <si>
    <t>1.1.5</t>
  </si>
  <si>
    <t>розробка сист.менеджменту в лабораторії та підготовка лабораторії до акредитації за вимогами стандарту ISO 15189:2022</t>
  </si>
  <si>
    <t>виготовл.і встановлення металопластиков.конструкцій, жалюзі</t>
  </si>
  <si>
    <t>ТО диз.генератора, газового обладн., аварійного ел.живлення, перев.і випробування пожеж.гідрантів, ел.вимірювання, тех.нагляд за об'єктами, промивка та випробув. сист.опалення, перев.дозоформ.параметри, встановлення камери відеоспостереження, сервісне обсл.систем очищення води</t>
  </si>
  <si>
    <t>предмети, матеріали, обладнання та інвентар, господарські товари, комп'ютерне обладнання</t>
  </si>
  <si>
    <t xml:space="preserve">оплата послуг (крім комунальних): ремонт обладнання, поточні рем.та ін.; тпослуги банку, інформаційні послуги, проведення експертного дослідження </t>
  </si>
  <si>
    <t xml:space="preserve">предмети, матеріали, обладнання та інвентар, в т.ч.:принтери, меблі, картриджи </t>
  </si>
  <si>
    <t>9.1.2</t>
  </si>
  <si>
    <t>ремонт обладнання, поточні ремонти та ін.послуги</t>
  </si>
  <si>
    <t>1.1.6</t>
  </si>
  <si>
    <t>Лікарняні листи перші 5 днів</t>
  </si>
  <si>
    <t>електрокоагулятор високочастотний зварювальний ЕК 300М</t>
  </si>
  <si>
    <t>радіочастотна плазмова хірург.сист. Генератор Eblator ARS600</t>
  </si>
  <si>
    <t>апарат ШВЛ Hamilton</t>
  </si>
  <si>
    <t xml:space="preserve">а/м Volkswagen </t>
  </si>
  <si>
    <t>холодильник BEKO, морозильна камера</t>
  </si>
  <si>
    <t>термостат сухоповітряний</t>
  </si>
  <si>
    <t>ламінована шафа біологічної безпеки HR 30 - II A2</t>
  </si>
  <si>
    <t>комп'ютерний комплекс</t>
  </si>
  <si>
    <t>капітальний ремонт частини приміщень в рамках проекту КДЛ (бактеріологія), ПКД</t>
  </si>
  <si>
    <t>Власні кошти (благодійна допомога, залишки коштів на рахунках)</t>
  </si>
  <si>
    <t>відшкодування орендарями земельного податку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</si>
</sst>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_-* #,##0.00\ _₴_-;\-* #,##0.00\ _₴_-;_-* &quot;-&quot;??\ _₴_-;_-@_-"/>
    <numFmt numFmtId="165" formatCode="_-* #,##0.00_₴_-;\-* #,##0.00_₴_-;_-* &quot;-&quot;??_₴_-;_-@_-"/>
    <numFmt numFmtId="166" formatCode="_-* #,##0.00\ _г_р_н_._-;\-* #,##0.00\ _г_р_н_._-;_-* &quot;-&quot;??\ _г_р_н_._-;_-@_-"/>
    <numFmt numFmtId="167" formatCode="#,##0&quot;р.&quot;;[Red]\-#,##0&quot;р.&quot;"/>
    <numFmt numFmtId="168" formatCode="#,##0.00&quot;р.&quot;;\-#,##0.00&quot;р.&quot;"/>
    <numFmt numFmtId="169" formatCode="_-* #,##0.00_р_._-;\-* #,##0.00_р_._-;_-* &quot;-&quot;??_р_._-;_-@_-"/>
    <numFmt numFmtId="170" formatCode="0.0"/>
    <numFmt numFmtId="171" formatCode="#,##0.0"/>
    <numFmt numFmtId="172" formatCode="###\ ##0.000"/>
    <numFmt numFmtId="173" formatCode="_(&quot;$&quot;* #,##0.00_);_(&quot;$&quot;* \(#,##0.00\);_(&quot;$&quot;* &quot;-&quot;??_);_(@_)"/>
    <numFmt numFmtId="174" formatCode="_(* #,##0_);_(* \(#,##0\);_(* &quot;-&quot;_);_(@_)"/>
    <numFmt numFmtId="175" formatCode="_(* #,##0.00_);_(* \(#,##0.00\);_(* &quot;-&quot;??_);_(@_)"/>
    <numFmt numFmtId="176" formatCode="#,##0.0_ ;[Red]\-#,##0.0\ "/>
    <numFmt numFmtId="177" formatCode="0.0;\(0.0\);\ ;\-"/>
    <numFmt numFmtId="178" formatCode="_(* #,##0_);_(* \(#,##0\);_(* &quot;-&quot;??_);_(@_)"/>
    <numFmt numFmtId="179" formatCode="_(* #,##0.0_);_(* \(#,##0.0\);_(* &quot;-&quot;_);_(@_)"/>
    <numFmt numFmtId="180" formatCode="_-* #,##0.0_₴_-;\-* #,##0.0_₴_-;_-* &quot;-&quot;?_₴_-;_-@_-"/>
    <numFmt numFmtId="181" formatCode="#,##0.000"/>
    <numFmt numFmtId="182" formatCode="_(* #,##0.0_);_(* \(#,##0.0\);_(* &quot;-&quot;??_);_(@_)"/>
    <numFmt numFmtId="183" formatCode="_-* #,##0.0\ _₴_-;\-* #,##0.0\ _₴_-;_-* &quot;-&quot;?\ _₴_-;_-@_-"/>
  </numFmts>
  <fonts count="107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6"/>
      <color rgb="FFC00000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i/>
      <sz val="14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Arial Cyr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54">
    <xf numFmtId="0" fontId="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4" fillId="2" borderId="0" applyNumberFormat="0" applyBorder="0" applyAlignment="0" applyProtection="0"/>
    <xf numFmtId="0" fontId="1" fillId="2" borderId="0" applyNumberFormat="0" applyBorder="0" applyAlignment="0" applyProtection="0"/>
    <xf numFmtId="0" fontId="24" fillId="3" borderId="0" applyNumberFormat="0" applyBorder="0" applyAlignment="0" applyProtection="0"/>
    <xf numFmtId="0" fontId="1" fillId="3" borderId="0" applyNumberFormat="0" applyBorder="0" applyAlignment="0" applyProtection="0"/>
    <xf numFmtId="0" fontId="24" fillId="4" borderId="0" applyNumberFormat="0" applyBorder="0" applyAlignment="0" applyProtection="0"/>
    <xf numFmtId="0" fontId="1" fillId="4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6" borderId="0" applyNumberFormat="0" applyBorder="0" applyAlignment="0" applyProtection="0"/>
    <xf numFmtId="0" fontId="1" fillId="6" borderId="0" applyNumberFormat="0" applyBorder="0" applyAlignment="0" applyProtection="0"/>
    <xf numFmtId="0" fontId="24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9" borderId="0" applyNumberFormat="0" applyBorder="0" applyAlignment="0" applyProtection="0"/>
    <xf numFmtId="0" fontId="1" fillId="9" borderId="0" applyNumberFormat="0" applyBorder="0" applyAlignment="0" applyProtection="0"/>
    <xf numFmtId="0" fontId="24" fillId="10" borderId="0" applyNumberFormat="0" applyBorder="0" applyAlignment="0" applyProtection="0"/>
    <xf numFmtId="0" fontId="1" fillId="10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11" borderId="0" applyNumberFormat="0" applyBorder="0" applyAlignment="0" applyProtection="0"/>
    <xf numFmtId="0" fontId="1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5" fillId="12" borderId="0" applyNumberFormat="0" applyBorder="0" applyAlignment="0" applyProtection="0"/>
    <xf numFmtId="0" fontId="7" fillId="12" borderId="0" applyNumberFormat="0" applyBorder="0" applyAlignment="0" applyProtection="0"/>
    <xf numFmtId="0" fontId="25" fillId="9" borderId="0" applyNumberFormat="0" applyBorder="0" applyAlignment="0" applyProtection="0"/>
    <xf numFmtId="0" fontId="7" fillId="9" borderId="0" applyNumberFormat="0" applyBorder="0" applyAlignment="0" applyProtection="0"/>
    <xf numFmtId="0" fontId="25" fillId="10" borderId="0" applyNumberFormat="0" applyBorder="0" applyAlignment="0" applyProtection="0"/>
    <xf numFmtId="0" fontId="7" fillId="10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8" fillId="3" borderId="0" applyNumberFormat="0" applyBorder="0" applyAlignment="0" applyProtection="0"/>
    <xf numFmtId="0" fontId="10" fillId="20" borderId="1" applyNumberFormat="0" applyAlignment="0" applyProtection="0"/>
    <xf numFmtId="0" fontId="15" fillId="21" borderId="2" applyNumberFormat="0" applyAlignment="0" applyProtection="0"/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166" fontId="5" fillId="0" borderId="0" applyFont="0" applyFill="0" applyBorder="0" applyAlignment="0" applyProtection="0"/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0" fontId="19" fillId="0" borderId="0" applyNumberFormat="0" applyFill="0" applyBorder="0" applyAlignment="0" applyProtection="0"/>
    <xf numFmtId="172" fontId="27" fillId="0" borderId="0" applyAlignment="0">
      <alignment wrapText="1"/>
    </xf>
    <xf numFmtId="0" fontId="22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8" fillId="7" borderId="1" applyNumberFormat="0" applyAlignment="0" applyProtection="0"/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29" fillId="22" borderId="7">
      <alignment horizontal="left" vertical="center"/>
      <protection locked="0"/>
    </xf>
    <xf numFmtId="49" fontId="29" fillId="22" borderId="7">
      <alignment horizontal="left" vertical="center"/>
    </xf>
    <xf numFmtId="4" fontId="29" fillId="22" borderId="7">
      <alignment horizontal="right" vertical="center"/>
      <protection locked="0"/>
    </xf>
    <xf numFmtId="4" fontId="29" fillId="22" borderId="7">
      <alignment horizontal="right" vertical="center"/>
    </xf>
    <xf numFmtId="4" fontId="30" fillId="22" borderId="7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</xf>
    <xf numFmtId="49" fontId="26" fillId="22" borderId="3">
      <alignment horizontal="left" vertical="center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</xf>
    <xf numFmtId="4" fontId="26" fillId="22" borderId="3">
      <alignment horizontal="right" vertical="center"/>
    </xf>
    <xf numFmtId="4" fontId="30" fillId="22" borderId="3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37" fillId="0" borderId="3">
      <alignment horizontal="left" vertical="center"/>
      <protection locked="0"/>
    </xf>
    <xf numFmtId="49" fontId="37" fillId="0" borderId="3">
      <alignment horizontal="left" vertical="center"/>
    </xf>
    <xf numFmtId="49" fontId="38" fillId="0" borderId="3">
      <alignment horizontal="left" vertical="center"/>
      <protection locked="0"/>
    </xf>
    <xf numFmtId="49" fontId="38" fillId="0" borderId="3">
      <alignment horizontal="left" vertical="center"/>
    </xf>
    <xf numFmtId="4" fontId="37" fillId="0" borderId="3">
      <alignment horizontal="right" vertical="center"/>
      <protection locked="0"/>
    </xf>
    <xf numFmtId="4" fontId="37" fillId="0" borderId="3">
      <alignment horizontal="right" vertical="center"/>
    </xf>
    <xf numFmtId="4" fontId="38" fillId="0" borderId="3">
      <alignment horizontal="right" vertical="center"/>
      <protection locked="0"/>
    </xf>
    <xf numFmtId="49" fontId="39" fillId="0" borderId="3">
      <alignment horizontal="left" vertical="center"/>
      <protection locked="0"/>
    </xf>
    <xf numFmtId="49" fontId="39" fillId="0" borderId="3">
      <alignment horizontal="left" vertical="center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" fontId="39" fillId="0" borderId="3">
      <alignment horizontal="right" vertical="center"/>
      <protection locked="0"/>
    </xf>
    <xf numFmtId="4" fontId="39" fillId="0" borderId="3">
      <alignment horizontal="right" vertical="center"/>
    </xf>
    <xf numFmtId="49" fontId="37" fillId="0" borderId="3">
      <alignment horizontal="left" vertical="center"/>
      <protection locked="0"/>
    </xf>
    <xf numFmtId="49" fontId="38" fillId="0" borderId="3">
      <alignment horizontal="left" vertical="center"/>
      <protection locked="0"/>
    </xf>
    <xf numFmtId="4" fontId="37" fillId="0" borderId="3">
      <alignment horizontal="right" vertical="center"/>
      <protection locked="0"/>
    </xf>
    <xf numFmtId="0" fontId="20" fillId="0" borderId="8" applyNumberFormat="0" applyFill="0" applyAlignment="0" applyProtection="0"/>
    <xf numFmtId="0" fontId="17" fillId="23" borderId="0" applyNumberFormat="0" applyBorder="0" applyAlignment="0" applyProtection="0"/>
    <xf numFmtId="0" fontId="5" fillId="0" borderId="0"/>
    <xf numFmtId="0" fontId="5" fillId="0" borderId="0"/>
    <xf numFmtId="0" fontId="5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1" fillId="26" borderId="3">
      <alignment horizontal="right" vertical="center"/>
      <protection locked="0"/>
    </xf>
    <xf numFmtId="4" fontId="41" fillId="27" borderId="3">
      <alignment horizontal="right" vertical="center"/>
      <protection locked="0"/>
    </xf>
    <xf numFmtId="4" fontId="41" fillId="28" borderId="3">
      <alignment horizontal="right" vertical="center"/>
      <protection locked="0"/>
    </xf>
    <xf numFmtId="0" fontId="9" fillId="20" borderId="10" applyNumberFormat="0" applyAlignment="0" applyProtection="0"/>
    <xf numFmtId="49" fontId="26" fillId="0" borderId="3">
      <alignment horizontal="left" vertical="center" wrapText="1"/>
      <protection locked="0"/>
    </xf>
    <xf numFmtId="49" fontId="26" fillId="0" borderId="3">
      <alignment horizontal="left" vertical="center" wrapText="1"/>
      <protection locked="0"/>
    </xf>
    <xf numFmtId="0" fontId="16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5" fillId="16" borderId="0" applyNumberFormat="0" applyBorder="0" applyAlignment="0" applyProtection="0"/>
    <xf numFmtId="0" fontId="7" fillId="16" borderId="0" applyNumberFormat="0" applyBorder="0" applyAlignment="0" applyProtection="0"/>
    <xf numFmtId="0" fontId="25" fillId="17" borderId="0" applyNumberFormat="0" applyBorder="0" applyAlignment="0" applyProtection="0"/>
    <xf numFmtId="0" fontId="7" fillId="17" borderId="0" applyNumberFormat="0" applyBorder="0" applyAlignment="0" applyProtection="0"/>
    <xf numFmtId="0" fontId="25" fillId="18" borderId="0" applyNumberFormat="0" applyBorder="0" applyAlignment="0" applyProtection="0"/>
    <xf numFmtId="0" fontId="7" fillId="18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9" borderId="0" applyNumberFormat="0" applyBorder="0" applyAlignment="0" applyProtection="0"/>
    <xf numFmtId="0" fontId="7" fillId="19" borderId="0" applyNumberFormat="0" applyBorder="0" applyAlignment="0" applyProtection="0"/>
    <xf numFmtId="0" fontId="42" fillId="7" borderId="1" applyNumberFormat="0" applyAlignment="0" applyProtection="0"/>
    <xf numFmtId="0" fontId="8" fillId="7" borderId="1" applyNumberFormat="0" applyAlignment="0" applyProtection="0"/>
    <xf numFmtId="0" fontId="43" fillId="20" borderId="10" applyNumberFormat="0" applyAlignment="0" applyProtection="0"/>
    <xf numFmtId="0" fontId="9" fillId="20" borderId="10" applyNumberFormat="0" applyAlignment="0" applyProtection="0"/>
    <xf numFmtId="0" fontId="44" fillId="20" borderId="1" applyNumberFormat="0" applyAlignment="0" applyProtection="0"/>
    <xf numFmtId="0" fontId="10" fillId="20" borderId="1" applyNumberFormat="0" applyAlignment="0" applyProtection="0"/>
    <xf numFmtId="173" fontId="5" fillId="0" borderId="0" applyFont="0" applyFill="0" applyBorder="0" applyAlignment="0" applyProtection="0"/>
    <xf numFmtId="0" fontId="45" fillId="0" borderId="4" applyNumberFormat="0" applyFill="0" applyAlignment="0" applyProtection="0"/>
    <xf numFmtId="0" fontId="11" fillId="0" borderId="4" applyNumberFormat="0" applyFill="0" applyAlignment="0" applyProtection="0"/>
    <xf numFmtId="0" fontId="46" fillId="0" borderId="5" applyNumberFormat="0" applyFill="0" applyAlignment="0" applyProtection="0"/>
    <xf numFmtId="0" fontId="12" fillId="0" borderId="5" applyNumberFormat="0" applyFill="0" applyAlignment="0" applyProtection="0"/>
    <xf numFmtId="0" fontId="47" fillId="0" borderId="6" applyNumberFormat="0" applyFill="0" applyAlignment="0" applyProtection="0"/>
    <xf numFmtId="0" fontId="13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8" fillId="0" borderId="11" applyNumberFormat="0" applyFill="0" applyAlignment="0" applyProtection="0"/>
    <xf numFmtId="0" fontId="14" fillId="0" borderId="11" applyNumberFormat="0" applyFill="0" applyAlignment="0" applyProtection="0"/>
    <xf numFmtId="0" fontId="49" fillId="21" borderId="2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0" fillId="23" borderId="0" applyNumberFormat="0" applyBorder="0" applyAlignment="0" applyProtection="0"/>
    <xf numFmtId="0" fontId="17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5" fillId="0" borderId="0"/>
    <xf numFmtId="0" fontId="2" fillId="0" borderId="0"/>
    <xf numFmtId="0" fontId="5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1" fillId="3" borderId="0" applyNumberFormat="0" applyBorder="0" applyAlignment="0" applyProtection="0"/>
    <xf numFmtId="0" fontId="18" fillId="3" borderId="0" applyNumberFormat="0" applyBorder="0" applyAlignment="0" applyProtection="0"/>
    <xf numFmtId="0" fontId="5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5" borderId="9" applyNumberFormat="0" applyFont="0" applyAlignment="0" applyProtection="0"/>
    <xf numFmtId="0" fontId="5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8" applyNumberFormat="0" applyFill="0" applyAlignment="0" applyProtection="0"/>
    <xf numFmtId="0" fontId="20" fillId="0" borderId="8" applyNumberFormat="0" applyFill="0" applyAlignment="0" applyProtection="0"/>
    <xf numFmtId="0" fontId="2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4" fontId="57" fillId="0" borderId="0" applyFont="0" applyFill="0" applyBorder="0" applyAlignment="0" applyProtection="0"/>
    <xf numFmtId="175" fontId="5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58" fillId="4" borderId="0" applyNumberFormat="0" applyBorder="0" applyAlignment="0" applyProtection="0"/>
    <xf numFmtId="0" fontId="22" fillId="4" borderId="0" applyNumberFormat="0" applyBorder="0" applyAlignment="0" applyProtection="0"/>
    <xf numFmtId="177" fontId="59" fillId="22" borderId="12" applyFill="0" applyBorder="0">
      <alignment horizontal="center" vertical="center" wrapText="1"/>
      <protection locked="0"/>
    </xf>
    <xf numFmtId="172" fontId="60" fillId="0" borderId="0">
      <alignment wrapText="1"/>
    </xf>
    <xf numFmtId="172" fontId="27" fillId="0" borderId="0">
      <alignment wrapText="1"/>
    </xf>
    <xf numFmtId="0" fontId="2" fillId="0" borderId="0"/>
  </cellStyleXfs>
  <cellXfs count="315">
    <xf numFmtId="0" fontId="0" fillId="0" borderId="0" xfId="0"/>
    <xf numFmtId="0" fontId="62" fillId="0" borderId="0" xfId="0" applyFont="1" applyFill="1" applyBorder="1" applyAlignment="1">
      <alignment vertical="center"/>
    </xf>
    <xf numFmtId="0" fontId="62" fillId="0" borderId="0" xfId="0" applyFont="1" applyFill="1" applyAlignment="1">
      <alignment horizontal="center" vertical="center"/>
    </xf>
    <xf numFmtId="0" fontId="62" fillId="0" borderId="0" xfId="0" applyFont="1" applyFill="1" applyAlignment="1">
      <alignment vertical="center"/>
    </xf>
    <xf numFmtId="0" fontId="62" fillId="0" borderId="0" xfId="0" applyFont="1" applyFill="1" applyBorder="1" applyAlignment="1">
      <alignment vertical="center" wrapText="1"/>
    </xf>
    <xf numFmtId="0" fontId="64" fillId="0" borderId="0" xfId="0" applyFont="1" applyFill="1" applyBorder="1" applyAlignment="1">
      <alignment vertical="center"/>
    </xf>
    <xf numFmtId="0" fontId="64" fillId="0" borderId="0" xfId="0" applyFont="1" applyFill="1" applyBorder="1" applyAlignment="1">
      <alignment vertical="center" wrapText="1"/>
    </xf>
    <xf numFmtId="0" fontId="65" fillId="0" borderId="0" xfId="0" applyFont="1" applyFill="1" applyBorder="1" applyAlignment="1">
      <alignment horizontal="left" vertical="center"/>
    </xf>
    <xf numFmtId="0" fontId="62" fillId="0" borderId="0" xfId="0" applyFont="1" applyFill="1" applyAlignment="1"/>
    <xf numFmtId="0" fontId="69" fillId="0" borderId="3" xfId="0" applyFont="1" applyFill="1" applyBorder="1" applyAlignment="1">
      <alignment horizontal="center" vertical="center" wrapText="1"/>
    </xf>
    <xf numFmtId="0" fontId="64" fillId="0" borderId="17" xfId="0" applyFont="1" applyFill="1" applyBorder="1" applyAlignment="1">
      <alignment horizontal="center" vertical="center" wrapText="1"/>
    </xf>
    <xf numFmtId="0" fontId="64" fillId="0" borderId="3" xfId="0" applyFont="1" applyFill="1" applyBorder="1" applyAlignment="1">
      <alignment horizontal="center" vertical="center" wrapText="1"/>
    </xf>
    <xf numFmtId="179" fontId="64" fillId="0" borderId="3" xfId="0" applyNumberFormat="1" applyFont="1" applyFill="1" applyBorder="1" applyAlignment="1">
      <alignment horizontal="center" vertical="center" wrapText="1"/>
    </xf>
    <xf numFmtId="0" fontId="71" fillId="0" borderId="3" xfId="0" applyFont="1" applyFill="1" applyBorder="1" applyAlignment="1">
      <alignment horizontal="center" vertical="center" wrapText="1"/>
    </xf>
    <xf numFmtId="0" fontId="67" fillId="0" borderId="0" xfId="0" applyFont="1" applyFill="1" applyBorder="1" applyAlignment="1">
      <alignment vertical="center"/>
    </xf>
    <xf numFmtId="0" fontId="67" fillId="0" borderId="3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horizontal="left" vertical="center" wrapText="1"/>
    </xf>
    <xf numFmtId="0" fontId="74" fillId="0" borderId="3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left" wrapText="1"/>
    </xf>
    <xf numFmtId="179" fontId="69" fillId="0" borderId="3" xfId="0" applyNumberFormat="1" applyFont="1" applyFill="1" applyBorder="1" applyAlignment="1">
      <alignment horizontal="center" vertical="center" wrapText="1"/>
    </xf>
    <xf numFmtId="0" fontId="76" fillId="0" borderId="3" xfId="0" applyFont="1" applyFill="1" applyBorder="1" applyAlignment="1">
      <alignment horizontal="left" vertical="center" wrapText="1"/>
    </xf>
    <xf numFmtId="0" fontId="71" fillId="0" borderId="3" xfId="0" quotePrefix="1" applyFont="1" applyFill="1" applyBorder="1" applyAlignment="1">
      <alignment horizontal="center" vertical="center"/>
    </xf>
    <xf numFmtId="179" fontId="70" fillId="0" borderId="3" xfId="0" applyNumberFormat="1" applyFont="1" applyFill="1" applyBorder="1" applyAlignment="1">
      <alignment horizontal="right" vertical="center" wrapText="1"/>
    </xf>
    <xf numFmtId="179" fontId="70" fillId="0" borderId="3" xfId="0" applyNumberFormat="1" applyFont="1" applyFill="1" applyBorder="1" applyAlignment="1">
      <alignment horizontal="center" vertical="center" wrapText="1"/>
    </xf>
    <xf numFmtId="0" fontId="64" fillId="0" borderId="13" xfId="0" applyFont="1" applyFill="1" applyBorder="1" applyAlignment="1">
      <alignment horizontal="center" vertical="center"/>
    </xf>
    <xf numFmtId="0" fontId="67" fillId="0" borderId="0" xfId="0" applyFont="1" applyFill="1" applyAlignment="1">
      <alignment horizontal="center" vertical="center"/>
    </xf>
    <xf numFmtId="179" fontId="69" fillId="0" borderId="3" xfId="0" applyNumberFormat="1" applyFont="1" applyFill="1" applyBorder="1" applyAlignment="1">
      <alignment horizontal="right" vertical="center" wrapText="1"/>
    </xf>
    <xf numFmtId="179" fontId="71" fillId="0" borderId="3" xfId="0" applyNumberFormat="1" applyFont="1" applyFill="1" applyBorder="1" applyAlignment="1">
      <alignment horizontal="right" vertical="center" wrapText="1"/>
    </xf>
    <xf numFmtId="0" fontId="69" fillId="0" borderId="3" xfId="0" applyFont="1" applyFill="1" applyBorder="1" applyAlignment="1">
      <alignment vertical="center" wrapText="1"/>
    </xf>
    <xf numFmtId="0" fontId="69" fillId="0" borderId="17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center" vertical="center"/>
    </xf>
    <xf numFmtId="0" fontId="69" fillId="0" borderId="15" xfId="0" applyFont="1" applyFill="1" applyBorder="1" applyAlignment="1">
      <alignment horizontal="left" vertical="center" wrapText="1"/>
    </xf>
    <xf numFmtId="0" fontId="63" fillId="0" borderId="3" xfId="0" applyFont="1" applyFill="1" applyBorder="1" applyAlignment="1">
      <alignment horizontal="left" vertical="center" wrapText="1"/>
    </xf>
    <xf numFmtId="179" fontId="64" fillId="0" borderId="3" xfId="0" applyNumberFormat="1" applyFont="1" applyFill="1" applyBorder="1" applyAlignment="1">
      <alignment horizontal="center" vertical="center"/>
    </xf>
    <xf numFmtId="179" fontId="62" fillId="0" borderId="0" xfId="0" applyNumberFormat="1" applyFont="1" applyFill="1" applyBorder="1" applyAlignment="1">
      <alignment vertical="center"/>
    </xf>
    <xf numFmtId="180" fontId="62" fillId="0" borderId="0" xfId="0" applyNumberFormat="1" applyFont="1" applyFill="1" applyBorder="1" applyAlignment="1">
      <alignment vertical="center"/>
    </xf>
    <xf numFmtId="170" fontId="63" fillId="0" borderId="0" xfId="0" applyNumberFormat="1" applyFont="1" applyFill="1" applyBorder="1" applyAlignment="1">
      <alignment horizontal="center" vertical="center" wrapText="1"/>
    </xf>
    <xf numFmtId="170" fontId="64" fillId="0" borderId="0" xfId="0" applyNumberFormat="1" applyFont="1" applyFill="1" applyBorder="1" applyAlignment="1">
      <alignment horizontal="center" vertical="center"/>
    </xf>
    <xf numFmtId="170" fontId="64" fillId="0" borderId="13" xfId="0" applyNumberFormat="1" applyFont="1" applyFill="1" applyBorder="1" applyAlignment="1">
      <alignment horizontal="center" vertical="center"/>
    </xf>
    <xf numFmtId="0" fontId="67" fillId="0" borderId="0" xfId="0" applyFont="1" applyFill="1" applyAlignment="1">
      <alignment vertical="center"/>
    </xf>
    <xf numFmtId="0" fontId="81" fillId="0" borderId="0" xfId="0" applyFont="1" applyFill="1" applyBorder="1" applyAlignment="1">
      <alignment horizontal="left" vertical="center"/>
    </xf>
    <xf numFmtId="0" fontId="67" fillId="0" borderId="13" xfId="0" applyFont="1" applyFill="1" applyBorder="1" applyAlignment="1">
      <alignment horizontal="center" vertical="center"/>
    </xf>
    <xf numFmtId="0" fontId="67" fillId="0" borderId="3" xfId="0" applyFont="1" applyFill="1" applyBorder="1" applyAlignment="1">
      <alignment horizontal="center" vertical="center" wrapText="1"/>
    </xf>
    <xf numFmtId="179" fontId="81" fillId="0" borderId="3" xfId="0" applyNumberFormat="1" applyFont="1" applyFill="1" applyBorder="1" applyAlignment="1">
      <alignment vertical="center"/>
    </xf>
    <xf numFmtId="179" fontId="67" fillId="0" borderId="3" xfId="0" applyNumberFormat="1" applyFont="1" applyFill="1" applyBorder="1" applyAlignment="1">
      <alignment vertical="center"/>
    </xf>
    <xf numFmtId="179" fontId="67" fillId="0" borderId="3" xfId="0" applyNumberFormat="1" applyFont="1" applyFill="1" applyBorder="1" applyAlignment="1">
      <alignment horizontal="left" vertical="center" wrapText="1"/>
    </xf>
    <xf numFmtId="179" fontId="75" fillId="0" borderId="3" xfId="0" applyNumberFormat="1" applyFont="1" applyFill="1" applyBorder="1" applyAlignment="1">
      <alignment vertical="center"/>
    </xf>
    <xf numFmtId="0" fontId="67" fillId="0" borderId="0" xfId="0" applyFont="1" applyFill="1" applyAlignment="1"/>
    <xf numFmtId="0" fontId="83" fillId="0" borderId="0" xfId="0" applyFont="1" applyFill="1" applyAlignment="1">
      <alignment vertical="center"/>
    </xf>
    <xf numFmtId="179" fontId="68" fillId="0" borderId="3" xfId="0" applyNumberFormat="1" applyFont="1" applyFill="1" applyBorder="1" applyAlignment="1">
      <alignment horizontal="right" vertical="center" wrapText="1"/>
    </xf>
    <xf numFmtId="178" fontId="73" fillId="0" borderId="3" xfId="0" applyNumberFormat="1" applyFont="1" applyFill="1" applyBorder="1" applyAlignment="1">
      <alignment horizontal="center" vertical="center" wrapText="1"/>
    </xf>
    <xf numFmtId="0" fontId="64" fillId="0" borderId="3" xfId="0" applyFont="1" applyFill="1" applyBorder="1" applyAlignment="1">
      <alignment horizontal="center" vertical="center"/>
    </xf>
    <xf numFmtId="1" fontId="67" fillId="0" borderId="3" xfId="0" applyNumberFormat="1" applyFont="1" applyFill="1" applyBorder="1" applyAlignment="1">
      <alignment horizontal="center" vertical="center" wrapText="1"/>
    </xf>
    <xf numFmtId="179" fontId="71" fillId="0" borderId="3" xfId="0" applyNumberFormat="1" applyFont="1" applyFill="1" applyBorder="1" applyAlignment="1">
      <alignment vertical="center" wrapText="1"/>
    </xf>
    <xf numFmtId="179" fontId="63" fillId="0" borderId="3" xfId="0" applyNumberFormat="1" applyFont="1" applyFill="1" applyBorder="1" applyAlignment="1">
      <alignment vertical="center" wrapText="1"/>
    </xf>
    <xf numFmtId="0" fontId="69" fillId="0" borderId="13" xfId="0" applyFont="1" applyFill="1" applyBorder="1" applyAlignment="1">
      <alignment horizontal="center" vertical="center"/>
    </xf>
    <xf numFmtId="0" fontId="84" fillId="0" borderId="0" xfId="0" applyFont="1" applyFill="1" applyBorder="1" applyAlignment="1">
      <alignment horizontal="center"/>
    </xf>
    <xf numFmtId="0" fontId="85" fillId="0" borderId="0" xfId="0" applyFont="1" applyFill="1" applyBorder="1" applyAlignment="1">
      <alignment horizontal="center" vertical="center"/>
    </xf>
    <xf numFmtId="0" fontId="85" fillId="0" borderId="0" xfId="0" applyFont="1" applyFill="1" applyBorder="1" applyAlignment="1">
      <alignment vertical="center"/>
    </xf>
    <xf numFmtId="170" fontId="85" fillId="0" borderId="0" xfId="0" applyNumberFormat="1" applyFont="1" applyFill="1" applyBorder="1" applyAlignment="1">
      <alignment vertical="center"/>
    </xf>
    <xf numFmtId="183" fontId="62" fillId="0" borderId="0" xfId="0" applyNumberFormat="1" applyFont="1" applyFill="1" applyBorder="1" applyAlignment="1">
      <alignment vertical="center"/>
    </xf>
    <xf numFmtId="0" fontId="67" fillId="0" borderId="13" xfId="0" applyFont="1" applyFill="1" applyBorder="1" applyAlignment="1">
      <alignment vertical="center"/>
    </xf>
    <xf numFmtId="0" fontId="67" fillId="0" borderId="0" xfId="0" applyFont="1" applyFill="1" applyAlignment="1">
      <alignment horizontal="right" vertical="center"/>
    </xf>
    <xf numFmtId="0" fontId="81" fillId="0" borderId="3" xfId="0" applyFont="1" applyFill="1" applyBorder="1" applyAlignment="1">
      <alignment horizontal="center" vertical="center" wrapText="1"/>
    </xf>
    <xf numFmtId="0" fontId="77" fillId="0" borderId="0" xfId="0" applyFont="1" applyFill="1" applyBorder="1" applyAlignment="1">
      <alignment horizontal="center" vertical="center"/>
    </xf>
    <xf numFmtId="0" fontId="62" fillId="0" borderId="0" xfId="0" applyFont="1" applyFill="1" applyBorder="1" applyAlignment="1">
      <alignment horizontal="center" vertical="center"/>
    </xf>
    <xf numFmtId="0" fontId="64" fillId="0" borderId="0" xfId="0" applyFont="1" applyFill="1" applyBorder="1" applyAlignment="1">
      <alignment horizontal="center" vertical="center"/>
    </xf>
    <xf numFmtId="0" fontId="74" fillId="0" borderId="3" xfId="0" applyFont="1" applyFill="1" applyBorder="1" applyAlignment="1">
      <alignment horizontal="center" vertical="center"/>
    </xf>
    <xf numFmtId="179" fontId="71" fillId="0" borderId="3" xfId="0" applyNumberFormat="1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vertical="center"/>
    </xf>
    <xf numFmtId="0" fontId="74" fillId="0" borderId="0" xfId="0" applyFont="1" applyFill="1" applyAlignment="1">
      <alignment horizontal="left" vertical="center"/>
    </xf>
    <xf numFmtId="0" fontId="89" fillId="0" borderId="0" xfId="0" applyFont="1" applyFill="1" applyAlignment="1">
      <alignment horizontal="center" vertical="center"/>
    </xf>
    <xf numFmtId="0" fontId="69" fillId="0" borderId="3" xfId="0" applyFont="1" applyFill="1" applyBorder="1" applyAlignment="1">
      <alignment horizontal="center" vertical="center" wrapText="1" shrinkToFit="1"/>
    </xf>
    <xf numFmtId="0" fontId="68" fillId="0" borderId="3" xfId="182" applyFont="1" applyFill="1" applyBorder="1" applyAlignment="1">
      <alignment vertical="center" wrapText="1"/>
      <protection locked="0"/>
    </xf>
    <xf numFmtId="0" fontId="68" fillId="0" borderId="3" xfId="0" applyFont="1" applyFill="1" applyBorder="1" applyAlignment="1">
      <alignment horizontal="center" vertical="center"/>
    </xf>
    <xf numFmtId="179" fontId="68" fillId="0" borderId="3" xfId="0" applyNumberFormat="1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left" vertical="center" wrapText="1"/>
    </xf>
    <xf numFmtId="179" fontId="87" fillId="0" borderId="3" xfId="0" applyNumberFormat="1" applyFont="1" applyFill="1" applyBorder="1" applyAlignment="1">
      <alignment horizontal="center" vertical="center" wrapText="1"/>
    </xf>
    <xf numFmtId="0" fontId="70" fillId="0" borderId="3" xfId="182" applyFont="1" applyFill="1" applyBorder="1" applyAlignment="1">
      <alignment vertical="center" wrapText="1"/>
      <protection locked="0"/>
    </xf>
    <xf numFmtId="179" fontId="68" fillId="0" borderId="3" xfId="0" applyNumberFormat="1" applyFont="1" applyFill="1" applyBorder="1" applyAlignment="1">
      <alignment vertical="center" wrapText="1"/>
    </xf>
    <xf numFmtId="179" fontId="88" fillId="0" borderId="3" xfId="0" applyNumberFormat="1" applyFont="1" applyFill="1" applyBorder="1" applyAlignment="1">
      <alignment horizontal="center" vertical="center" wrapText="1"/>
    </xf>
    <xf numFmtId="0" fontId="68" fillId="0" borderId="3" xfId="0" applyFont="1" applyFill="1" applyBorder="1" applyAlignment="1">
      <alignment horizontal="left" vertical="center" wrapText="1"/>
    </xf>
    <xf numFmtId="0" fontId="68" fillId="0" borderId="3" xfId="245" applyFont="1" applyFill="1" applyBorder="1" applyAlignment="1">
      <alignment horizontal="left" vertical="center" wrapText="1"/>
    </xf>
    <xf numFmtId="0" fontId="70" fillId="0" borderId="3" xfId="245" applyFont="1" applyFill="1" applyBorder="1" applyAlignment="1">
      <alignment horizontal="left" vertical="center" wrapText="1"/>
    </xf>
    <xf numFmtId="0" fontId="68" fillId="0" borderId="3" xfId="0" applyFont="1" applyFill="1" applyBorder="1" applyAlignment="1" applyProtection="1">
      <alignment horizontal="left" vertical="center" wrapText="1"/>
      <protection locked="0"/>
    </xf>
    <xf numFmtId="49" fontId="68" fillId="0" borderId="3" xfId="0" applyNumberFormat="1" applyFont="1" applyFill="1" applyBorder="1" applyAlignment="1">
      <alignment horizontal="center" vertical="center"/>
    </xf>
    <xf numFmtId="178" fontId="68" fillId="0" borderId="3" xfId="0" applyNumberFormat="1" applyFont="1" applyFill="1" applyBorder="1" applyAlignment="1">
      <alignment horizontal="center" vertical="center" wrapText="1"/>
    </xf>
    <xf numFmtId="0" fontId="91" fillId="0" borderId="0" xfId="0" applyFont="1" applyFill="1" applyBorder="1" applyAlignment="1">
      <alignment horizontal="center" wrapText="1"/>
    </xf>
    <xf numFmtId="0" fontId="70" fillId="0" borderId="0" xfId="0" quotePrefix="1" applyFont="1" applyFill="1" applyBorder="1" applyAlignment="1">
      <alignment horizontal="center" vertical="center"/>
    </xf>
    <xf numFmtId="171" fontId="90" fillId="0" borderId="0" xfId="0" applyNumberFormat="1" applyFont="1" applyFill="1" applyBorder="1" applyAlignment="1">
      <alignment vertical="center"/>
    </xf>
    <xf numFmtId="0" fontId="70" fillId="0" borderId="0" xfId="0" applyFont="1" applyFill="1" applyBorder="1" applyAlignment="1">
      <alignment vertical="center"/>
    </xf>
    <xf numFmtId="0" fontId="70" fillId="0" borderId="0" xfId="0" applyFont="1" applyFill="1" applyAlignment="1">
      <alignment horizontal="left" vertical="center"/>
    </xf>
    <xf numFmtId="179" fontId="79" fillId="0" borderId="0" xfId="0" applyNumberFormat="1" applyFont="1" applyFill="1" applyBorder="1" applyAlignment="1">
      <alignment horizontal="right" vertical="center" wrapText="1"/>
    </xf>
    <xf numFmtId="0" fontId="64" fillId="0" borderId="0" xfId="0" applyFont="1" applyFill="1" applyBorder="1" applyAlignment="1">
      <alignment horizontal="center" vertical="center" wrapText="1"/>
    </xf>
    <xf numFmtId="179" fontId="92" fillId="0" borderId="3" xfId="0" applyNumberFormat="1" applyFont="1" applyFill="1" applyBorder="1" applyAlignment="1">
      <alignment horizontal="center" vertical="center" wrapText="1"/>
    </xf>
    <xf numFmtId="179" fontId="93" fillId="0" borderId="3" xfId="0" applyNumberFormat="1" applyFont="1" applyFill="1" applyBorder="1" applyAlignment="1">
      <alignment horizontal="center" vertical="center" wrapText="1"/>
    </xf>
    <xf numFmtId="0" fontId="94" fillId="0" borderId="0" xfId="0" applyFont="1" applyFill="1" applyBorder="1" applyAlignment="1">
      <alignment horizontal="center" vertical="center"/>
    </xf>
    <xf numFmtId="0" fontId="66" fillId="0" borderId="0" xfId="0" applyFont="1" applyFill="1" applyBorder="1" applyAlignment="1">
      <alignment horizontal="center"/>
    </xf>
    <xf numFmtId="0" fontId="72" fillId="0" borderId="0" xfId="0" applyFont="1" applyFill="1" applyBorder="1" applyAlignment="1">
      <alignment horizontal="center" vertical="center"/>
    </xf>
    <xf numFmtId="179" fontId="97" fillId="0" borderId="3" xfId="0" applyNumberFormat="1" applyFont="1" applyFill="1" applyBorder="1" applyAlignment="1">
      <alignment horizontal="center" vertical="center"/>
    </xf>
    <xf numFmtId="179" fontId="98" fillId="0" borderId="3" xfId="0" applyNumberFormat="1" applyFont="1" applyFill="1" applyBorder="1" applyAlignment="1">
      <alignment vertical="center"/>
    </xf>
    <xf numFmtId="0" fontId="82" fillId="0" borderId="0" xfId="0" applyFont="1" applyFill="1" applyBorder="1" applyAlignment="1"/>
    <xf numFmtId="49" fontId="71" fillId="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vertical="center"/>
    </xf>
    <xf numFmtId="1" fontId="69" fillId="0" borderId="0" xfId="0" applyNumberFormat="1" applyFont="1" applyFill="1" applyBorder="1" applyAlignment="1">
      <alignment vertical="center"/>
    </xf>
    <xf numFmtId="0" fontId="71" fillId="0" borderId="0" xfId="0" applyFont="1" applyFill="1" applyBorder="1" applyAlignment="1">
      <alignment vertical="center"/>
    </xf>
    <xf numFmtId="0" fontId="64" fillId="0" borderId="3" xfId="0" applyFont="1" applyFill="1" applyBorder="1" applyAlignment="1">
      <alignment horizontal="center" vertical="center" wrapText="1" shrinkToFit="1"/>
    </xf>
    <xf numFmtId="0" fontId="67" fillId="0" borderId="0" xfId="0" applyFont="1" applyFill="1" applyBorder="1" applyAlignment="1">
      <alignment vertical="center"/>
    </xf>
    <xf numFmtId="0" fontId="69" fillId="0" borderId="0" xfId="0" applyFont="1" applyFill="1" applyBorder="1" applyAlignment="1">
      <alignment vertical="center" wrapText="1"/>
    </xf>
    <xf numFmtId="1" fontId="71" fillId="0" borderId="0" xfId="0" applyNumberFormat="1" applyFont="1" applyFill="1" applyBorder="1" applyAlignment="1">
      <alignment vertical="center"/>
    </xf>
    <xf numFmtId="170" fontId="71" fillId="0" borderId="0" xfId="0" applyNumberFormat="1" applyFont="1" applyFill="1" applyBorder="1" applyAlignment="1">
      <alignment vertical="center"/>
    </xf>
    <xf numFmtId="183" fontId="71" fillId="0" borderId="0" xfId="0" applyNumberFormat="1" applyFont="1" applyFill="1" applyBorder="1" applyAlignment="1">
      <alignment vertical="center"/>
    </xf>
    <xf numFmtId="179" fontId="71" fillId="0" borderId="0" xfId="0" applyNumberFormat="1" applyFont="1" applyFill="1" applyBorder="1" applyAlignment="1">
      <alignment vertical="center"/>
    </xf>
    <xf numFmtId="0" fontId="79" fillId="0" borderId="3" xfId="0" applyFont="1" applyFill="1" applyBorder="1" applyAlignment="1">
      <alignment horizontal="left" vertical="center" wrapText="1"/>
    </xf>
    <xf numFmtId="0" fontId="69" fillId="0" borderId="3" xfId="0" applyFont="1" applyFill="1" applyBorder="1" applyAlignment="1">
      <alignment horizontal="right" vertical="center" wrapText="1"/>
    </xf>
    <xf numFmtId="49" fontId="76" fillId="0" borderId="3" xfId="0" applyNumberFormat="1" applyFont="1" applyFill="1" applyBorder="1" applyAlignment="1">
      <alignment horizontal="center" vertical="center" wrapText="1"/>
    </xf>
    <xf numFmtId="0" fontId="76" fillId="0" borderId="3" xfId="0" applyFont="1" applyFill="1" applyBorder="1" applyAlignment="1">
      <alignment horizontal="center" vertical="center" wrapText="1"/>
    </xf>
    <xf numFmtId="179" fontId="76" fillId="0" borderId="3" xfId="0" applyNumberFormat="1" applyFont="1" applyFill="1" applyBorder="1" applyAlignment="1">
      <alignment horizontal="right" vertical="center" wrapText="1"/>
    </xf>
    <xf numFmtId="179" fontId="76" fillId="0" borderId="3" xfId="0" applyNumberFormat="1" applyFont="1" applyFill="1" applyBorder="1" applyAlignment="1">
      <alignment horizontal="center" vertical="center" wrapText="1"/>
    </xf>
    <xf numFmtId="49" fontId="79" fillId="0" borderId="3" xfId="0" applyNumberFormat="1" applyFont="1" applyFill="1" applyBorder="1" applyAlignment="1">
      <alignment horizontal="center" vertical="center" wrapText="1"/>
    </xf>
    <xf numFmtId="49" fontId="69" fillId="0" borderId="3" xfId="0" applyNumberFormat="1" applyFont="1" applyFill="1" applyBorder="1" applyAlignment="1">
      <alignment horizontal="center" vertical="center" wrapText="1"/>
    </xf>
    <xf numFmtId="1" fontId="71" fillId="0" borderId="0" xfId="0" applyNumberFormat="1" applyFont="1" applyFill="1" applyBorder="1" applyAlignment="1">
      <alignment horizontal="right" vertical="center"/>
    </xf>
    <xf numFmtId="179" fontId="69" fillId="0" borderId="0" xfId="0" applyNumberFormat="1" applyFont="1" applyFill="1" applyBorder="1" applyAlignment="1">
      <alignment vertical="center"/>
    </xf>
    <xf numFmtId="171" fontId="69" fillId="0" borderId="0" xfId="0" applyNumberFormat="1" applyFont="1" applyFill="1" applyBorder="1" applyAlignment="1">
      <alignment horizontal="left" vertical="center"/>
    </xf>
    <xf numFmtId="171" fontId="71" fillId="0" borderId="0" xfId="0" applyNumberFormat="1" applyFont="1" applyFill="1" applyBorder="1" applyAlignment="1">
      <alignment vertical="center"/>
    </xf>
    <xf numFmtId="170" fontId="69" fillId="0" borderId="0" xfId="0" applyNumberFormat="1" applyFont="1" applyFill="1" applyBorder="1" applyAlignment="1">
      <alignment horizontal="left" vertical="top"/>
    </xf>
    <xf numFmtId="179" fontId="79" fillId="0" borderId="3" xfId="0" applyNumberFormat="1" applyFont="1" applyFill="1" applyBorder="1" applyAlignment="1">
      <alignment horizontal="right" vertical="center" wrapText="1"/>
    </xf>
    <xf numFmtId="183" fontId="69" fillId="0" borderId="0" xfId="0" applyNumberFormat="1" applyFont="1" applyFill="1" applyBorder="1" applyAlignment="1">
      <alignment vertical="center"/>
    </xf>
    <xf numFmtId="0" fontId="79" fillId="0" borderId="3" xfId="0" applyFont="1" applyFill="1" applyBorder="1" applyAlignment="1">
      <alignment horizontal="center" vertical="center" wrapText="1"/>
    </xf>
    <xf numFmtId="179" fontId="79" fillId="0" borderId="3" xfId="0" applyNumberFormat="1" applyFont="1" applyFill="1" applyBorder="1" applyAlignment="1">
      <alignment horizontal="center" vertical="center" wrapText="1"/>
    </xf>
    <xf numFmtId="164" fontId="69" fillId="0" borderId="0" xfId="0" applyNumberFormat="1" applyFont="1" applyFill="1" applyBorder="1" applyAlignment="1">
      <alignment vertical="center"/>
    </xf>
    <xf numFmtId="0" fontId="69" fillId="0" borderId="0" xfId="0" applyNumberFormat="1" applyFont="1" applyFill="1" applyBorder="1" applyAlignment="1">
      <alignment vertical="center"/>
    </xf>
    <xf numFmtId="0" fontId="69" fillId="0" borderId="3" xfId="353" applyFont="1" applyFill="1" applyBorder="1" applyAlignment="1">
      <alignment horizontal="left" vertical="center" wrapText="1"/>
    </xf>
    <xf numFmtId="181" fontId="69" fillId="0" borderId="3" xfId="353" applyNumberFormat="1" applyFont="1" applyFill="1" applyBorder="1" applyAlignment="1">
      <alignment horizontal="center" vertical="center" wrapText="1"/>
    </xf>
    <xf numFmtId="0" fontId="76" fillId="0" borderId="3" xfId="0" applyFont="1" applyFill="1" applyBorder="1" applyAlignment="1">
      <alignment vertical="center" wrapText="1"/>
    </xf>
    <xf numFmtId="0" fontId="79" fillId="0" borderId="3" xfId="0" applyFont="1" applyFill="1" applyBorder="1" applyAlignment="1">
      <alignment vertical="center" wrapText="1"/>
    </xf>
    <xf numFmtId="0" fontId="76" fillId="0" borderId="3" xfId="182" applyFont="1" applyFill="1" applyBorder="1" applyAlignment="1">
      <alignment vertical="center" wrapText="1"/>
      <protection locked="0"/>
    </xf>
    <xf numFmtId="0" fontId="79" fillId="0" borderId="17" xfId="0" applyFont="1" applyFill="1" applyBorder="1" applyAlignment="1">
      <alignment horizontal="center" vertical="center" wrapText="1"/>
    </xf>
    <xf numFmtId="179" fontId="76" fillId="0" borderId="3" xfId="0" applyNumberFormat="1" applyFont="1" applyFill="1" applyBorder="1" applyAlignment="1">
      <alignment vertical="center" wrapText="1"/>
    </xf>
    <xf numFmtId="179" fontId="79" fillId="0" borderId="3" xfId="0" applyNumberFormat="1" applyFont="1" applyFill="1" applyBorder="1" applyAlignment="1">
      <alignment vertical="center" wrapText="1"/>
    </xf>
    <xf numFmtId="0" fontId="79" fillId="0" borderId="16" xfId="0" applyFont="1" applyFill="1" applyBorder="1" applyAlignment="1">
      <alignment horizontal="left" vertical="center" wrapText="1"/>
    </xf>
    <xf numFmtId="179" fontId="79" fillId="0" borderId="15" xfId="0" applyNumberFormat="1" applyFont="1" applyFill="1" applyBorder="1" applyAlignment="1">
      <alignment horizontal="right" vertical="center" wrapText="1"/>
    </xf>
    <xf numFmtId="0" fontId="79" fillId="0" borderId="3" xfId="0" applyFont="1" applyFill="1" applyBorder="1" applyAlignment="1">
      <alignment horizontal="left" wrapText="1"/>
    </xf>
    <xf numFmtId="0" fontId="64" fillId="0" borderId="3" xfId="0" applyFont="1" applyFill="1" applyBorder="1" applyAlignment="1">
      <alignment horizontal="left" vertical="center" wrapText="1"/>
    </xf>
    <xf numFmtId="1" fontId="79" fillId="0" borderId="0" xfId="0" applyNumberFormat="1" applyFont="1" applyFill="1" applyBorder="1" applyAlignment="1">
      <alignment horizontal="left" vertical="center" wrapText="1"/>
    </xf>
    <xf numFmtId="171" fontId="69" fillId="0" borderId="0" xfId="0" applyNumberFormat="1" applyFont="1" applyFill="1" applyBorder="1" applyAlignment="1">
      <alignment horizontal="left" wrapText="1"/>
    </xf>
    <xf numFmtId="0" fontId="69" fillId="0" borderId="0" xfId="0" applyFont="1" applyFill="1" applyBorder="1" applyAlignment="1">
      <alignment horizontal="left" vertical="center" wrapText="1"/>
    </xf>
    <xf numFmtId="0" fontId="78" fillId="0" borderId="3" xfId="0" applyFont="1" applyFill="1" applyBorder="1" applyAlignment="1">
      <alignment horizontal="center" vertical="center" wrapText="1"/>
    </xf>
    <xf numFmtId="171" fontId="69" fillId="0" borderId="0" xfId="0" applyNumberFormat="1" applyFont="1" applyFill="1" applyBorder="1" applyAlignment="1">
      <alignment horizontal="center" vertical="center"/>
    </xf>
    <xf numFmtId="49" fontId="64" fillId="0" borderId="3" xfId="0" applyNumberFormat="1" applyFont="1" applyFill="1" applyBorder="1" applyAlignment="1">
      <alignment horizontal="center" vertical="center" wrapText="1"/>
    </xf>
    <xf numFmtId="49" fontId="78" fillId="0" borderId="3" xfId="0" applyNumberFormat="1" applyFont="1" applyFill="1" applyBorder="1" applyAlignment="1">
      <alignment horizontal="center" vertical="center" wrapText="1"/>
    </xf>
    <xf numFmtId="171" fontId="76" fillId="0" borderId="3" xfId="0" applyNumberFormat="1" applyFont="1" applyFill="1" applyBorder="1" applyAlignment="1">
      <alignment horizontal="right" vertical="center" wrapText="1"/>
    </xf>
    <xf numFmtId="49" fontId="100" fillId="0" borderId="3" xfId="0" applyNumberFormat="1" applyFont="1" applyFill="1" applyBorder="1" applyAlignment="1">
      <alignment horizontal="center" vertical="center" wrapText="1"/>
    </xf>
    <xf numFmtId="0" fontId="79" fillId="0" borderId="3" xfId="0" applyFont="1" applyFill="1" applyBorder="1" applyAlignment="1">
      <alignment horizontal="left" vertical="top" wrapText="1"/>
    </xf>
    <xf numFmtId="170" fontId="69" fillId="0" borderId="0" xfId="0" applyNumberFormat="1" applyFont="1" applyFill="1" applyBorder="1" applyAlignment="1">
      <alignment vertical="center"/>
    </xf>
    <xf numFmtId="170" fontId="71" fillId="0" borderId="0" xfId="0" applyNumberFormat="1" applyFont="1" applyFill="1" applyBorder="1" applyAlignment="1">
      <alignment horizontal="center" vertical="center"/>
    </xf>
    <xf numFmtId="170" fontId="69" fillId="0" borderId="0" xfId="0" applyNumberFormat="1" applyFont="1" applyFill="1" applyBorder="1" applyAlignment="1">
      <alignment horizontal="center" vertical="center"/>
    </xf>
    <xf numFmtId="170" fontId="79" fillId="0" borderId="0" xfId="0" applyNumberFormat="1" applyFont="1" applyFill="1" applyBorder="1" applyAlignment="1">
      <alignment horizontal="center" vertical="center" wrapText="1"/>
    </xf>
    <xf numFmtId="170" fontId="69" fillId="0" borderId="0" xfId="0" applyNumberFormat="1" applyFont="1" applyFill="1" applyBorder="1" applyAlignment="1">
      <alignment horizontal="right" vertical="center"/>
    </xf>
    <xf numFmtId="0" fontId="63" fillId="0" borderId="3" xfId="0" applyFont="1" applyFill="1" applyBorder="1" applyAlignment="1">
      <alignment horizontal="center" vertical="center" wrapText="1"/>
    </xf>
    <xf numFmtId="0" fontId="64" fillId="29" borderId="0" xfId="0" applyFont="1" applyFill="1" applyBorder="1" applyAlignment="1">
      <alignment vertical="center"/>
    </xf>
    <xf numFmtId="0" fontId="63" fillId="29" borderId="0" xfId="0" applyFont="1" applyFill="1" applyBorder="1" applyAlignment="1">
      <alignment vertical="center"/>
    </xf>
    <xf numFmtId="171" fontId="64" fillId="29" borderId="0" xfId="0" applyNumberFormat="1" applyFont="1" applyFill="1" applyBorder="1" applyAlignment="1">
      <alignment vertical="center"/>
    </xf>
    <xf numFmtId="0" fontId="86" fillId="29" borderId="0" xfId="0" applyFont="1" applyFill="1" applyBorder="1" applyAlignment="1">
      <alignment vertical="center"/>
    </xf>
    <xf numFmtId="0" fontId="64" fillId="29" borderId="0" xfId="0" applyFont="1" applyFill="1" applyBorder="1" applyAlignment="1">
      <alignment vertical="center" wrapText="1"/>
    </xf>
    <xf numFmtId="0" fontId="64" fillId="29" borderId="0" xfId="0" applyFont="1" applyFill="1" applyBorder="1" applyAlignment="1">
      <alignment horizontal="center" vertical="center"/>
    </xf>
    <xf numFmtId="179" fontId="78" fillId="0" borderId="3" xfId="0" applyNumberFormat="1" applyFont="1" applyFill="1" applyBorder="1" applyAlignment="1">
      <alignment horizontal="center" vertical="center" wrapText="1"/>
    </xf>
    <xf numFmtId="0" fontId="78" fillId="0" borderId="3" xfId="0" applyFont="1" applyFill="1" applyBorder="1" applyAlignment="1">
      <alignment horizontal="left" vertical="center" wrapText="1"/>
    </xf>
    <xf numFmtId="179" fontId="83" fillId="0" borderId="3" xfId="0" applyNumberFormat="1" applyFont="1" applyFill="1" applyBorder="1" applyAlignment="1">
      <alignment horizontal="left" vertical="center" wrapText="1"/>
    </xf>
    <xf numFmtId="0" fontId="76" fillId="0" borderId="3" xfId="0" quotePrefix="1" applyFont="1" applyFill="1" applyBorder="1" applyAlignment="1">
      <alignment horizontal="center" vertical="center"/>
    </xf>
    <xf numFmtId="179" fontId="101" fillId="0" borderId="3" xfId="0" applyNumberFormat="1" applyFont="1" applyFill="1" applyBorder="1" applyAlignment="1">
      <alignment horizontal="center" vertical="center"/>
    </xf>
    <xf numFmtId="170" fontId="76" fillId="0" borderId="3" xfId="0" applyNumberFormat="1" applyFont="1" applyFill="1" applyBorder="1" applyAlignment="1">
      <alignment vertical="center" wrapText="1"/>
    </xf>
    <xf numFmtId="179" fontId="78" fillId="0" borderId="3" xfId="0" applyNumberFormat="1" applyFont="1" applyFill="1" applyBorder="1" applyAlignment="1">
      <alignment vertical="center" wrapText="1"/>
    </xf>
    <xf numFmtId="0" fontId="71" fillId="0" borderId="3" xfId="0" applyFont="1" applyFill="1" applyBorder="1" applyAlignment="1">
      <alignment vertical="center" wrapText="1"/>
    </xf>
    <xf numFmtId="0" fontId="71" fillId="0" borderId="3" xfId="0" applyFont="1" applyFill="1" applyBorder="1" applyAlignment="1">
      <alignment horizontal="right" vertical="center" wrapText="1"/>
    </xf>
    <xf numFmtId="0" fontId="62" fillId="30" borderId="0" xfId="0" applyFont="1" applyFill="1" applyBorder="1" applyAlignment="1">
      <alignment horizontal="center" vertical="center"/>
    </xf>
    <xf numFmtId="0" fontId="64" fillId="30" borderId="0" xfId="0" applyFont="1" applyFill="1" applyBorder="1" applyAlignment="1">
      <alignment horizontal="center" vertical="center"/>
    </xf>
    <xf numFmtId="0" fontId="69" fillId="30" borderId="0" xfId="0" applyFont="1" applyFill="1" applyBorder="1" applyAlignment="1">
      <alignment horizontal="center" vertical="center"/>
    </xf>
    <xf numFmtId="0" fontId="69" fillId="30" borderId="0" xfId="0" applyFont="1" applyFill="1" applyBorder="1" applyAlignment="1">
      <alignment vertical="center"/>
    </xf>
    <xf numFmtId="0" fontId="62" fillId="30" borderId="0" xfId="0" applyFont="1" applyFill="1" applyBorder="1" applyAlignment="1">
      <alignment vertical="center"/>
    </xf>
    <xf numFmtId="171" fontId="68" fillId="0" borderId="3" xfId="0" applyNumberFormat="1" applyFont="1" applyFill="1" applyBorder="1" applyAlignment="1">
      <alignment horizontal="right" vertical="center" wrapText="1"/>
    </xf>
    <xf numFmtId="171" fontId="70" fillId="0" borderId="3" xfId="0" applyNumberFormat="1" applyFont="1" applyFill="1" applyBorder="1" applyAlignment="1">
      <alignment horizontal="right" vertical="center" wrapText="1"/>
    </xf>
    <xf numFmtId="0" fontId="64" fillId="31" borderId="0" xfId="0" applyFont="1" applyFill="1" applyBorder="1" applyAlignment="1">
      <alignment horizontal="center" vertical="center"/>
    </xf>
    <xf numFmtId="0" fontId="69" fillId="31" borderId="0" xfId="0" applyFont="1" applyFill="1" applyBorder="1" applyAlignment="1">
      <alignment horizontal="center" vertical="center"/>
    </xf>
    <xf numFmtId="0" fontId="69" fillId="31" borderId="0" xfId="0" applyFont="1" applyFill="1" applyBorder="1" applyAlignment="1">
      <alignment vertical="center"/>
    </xf>
    <xf numFmtId="0" fontId="69" fillId="0" borderId="3" xfId="182" applyFont="1" applyFill="1" applyBorder="1" applyAlignment="1">
      <alignment vertical="center" wrapText="1"/>
      <protection locked="0"/>
    </xf>
    <xf numFmtId="0" fontId="71" fillId="0" borderId="0" xfId="0" applyFont="1" applyFill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center" vertical="center" wrapText="1"/>
    </xf>
    <xf numFmtId="0" fontId="67" fillId="0" borderId="0" xfId="0" applyFont="1" applyFill="1" applyBorder="1" applyAlignment="1">
      <alignment horizontal="center" vertical="center"/>
    </xf>
    <xf numFmtId="171" fontId="69" fillId="0" borderId="3" xfId="0" applyNumberFormat="1" applyFont="1" applyFill="1" applyBorder="1" applyAlignment="1">
      <alignment horizontal="right" vertical="center" wrapText="1" shrinkToFit="1"/>
    </xf>
    <xf numFmtId="171" fontId="69" fillId="0" borderId="3" xfId="0" applyNumberFormat="1" applyFont="1" applyFill="1" applyBorder="1" applyAlignment="1">
      <alignment horizontal="right" vertical="center" wrapText="1"/>
    </xf>
    <xf numFmtId="171" fontId="64" fillId="0" borderId="3" xfId="0" applyNumberFormat="1" applyFont="1" applyFill="1" applyBorder="1" applyAlignment="1">
      <alignment horizontal="right" wrapText="1"/>
    </xf>
    <xf numFmtId="171" fontId="79" fillId="0" borderId="3" xfId="0" applyNumberFormat="1" applyFont="1" applyFill="1" applyBorder="1" applyAlignment="1">
      <alignment horizontal="right" vertical="center" wrapText="1"/>
    </xf>
    <xf numFmtId="171" fontId="79" fillId="0" borderId="3" xfId="0" applyNumberFormat="1" applyFont="1" applyFill="1" applyBorder="1" applyAlignment="1">
      <alignment horizontal="right" vertical="center" wrapText="1" shrinkToFit="1"/>
    </xf>
    <xf numFmtId="179" fontId="79" fillId="0" borderId="3" xfId="0" applyNumberFormat="1" applyFont="1" applyFill="1" applyBorder="1" applyAlignment="1">
      <alignment horizontal="right" vertical="center" wrapText="1" shrinkToFit="1"/>
    </xf>
    <xf numFmtId="179" fontId="69" fillId="0" borderId="3" xfId="0" applyNumberFormat="1" applyFont="1" applyFill="1" applyBorder="1" applyAlignment="1">
      <alignment horizontal="right" vertical="center" wrapText="1" shrinkToFit="1"/>
    </xf>
    <xf numFmtId="0" fontId="64" fillId="0" borderId="15" xfId="0" applyFont="1" applyFill="1" applyBorder="1" applyAlignment="1">
      <alignment horizontal="left" vertical="center" wrapText="1"/>
    </xf>
    <xf numFmtId="171" fontId="63" fillId="0" borderId="3" xfId="0" applyNumberFormat="1" applyFont="1" applyFill="1" applyBorder="1" applyAlignment="1">
      <alignment horizontal="right" wrapText="1"/>
    </xf>
    <xf numFmtId="171" fontId="63" fillId="0" borderId="3" xfId="0" applyNumberFormat="1" applyFont="1" applyFill="1" applyBorder="1" applyAlignment="1">
      <alignment horizontal="right" vertical="center" wrapText="1"/>
    </xf>
    <xf numFmtId="171" fontId="71" fillId="0" borderId="3" xfId="0" applyNumberFormat="1" applyFont="1" applyFill="1" applyBorder="1" applyAlignment="1">
      <alignment horizontal="right" vertical="center" wrapText="1"/>
    </xf>
    <xf numFmtId="171" fontId="71" fillId="0" borderId="3" xfId="0" applyNumberFormat="1" applyFont="1" applyFill="1" applyBorder="1" applyAlignment="1">
      <alignment horizontal="right" vertical="center" wrapText="1" shrinkToFit="1"/>
    </xf>
    <xf numFmtId="171" fontId="70" fillId="0" borderId="0" xfId="0" applyNumberFormat="1" applyFont="1" applyFill="1" applyBorder="1" applyAlignment="1">
      <alignment wrapText="1"/>
    </xf>
    <xf numFmtId="0" fontId="74" fillId="0" borderId="0" xfId="0" applyFont="1" applyFill="1" applyAlignment="1">
      <alignment horizontal="center" vertical="center"/>
    </xf>
    <xf numFmtId="179" fontId="68" fillId="0" borderId="3" xfId="0" applyNumberFormat="1" applyFont="1" applyFill="1" applyBorder="1" applyAlignment="1">
      <alignment vertical="center"/>
    </xf>
    <xf numFmtId="0" fontId="70" fillId="0" borderId="0" xfId="0" applyFont="1" applyFill="1" applyAlignment="1">
      <alignment vertical="center"/>
    </xf>
    <xf numFmtId="182" fontId="68" fillId="0" borderId="3" xfId="0" applyNumberFormat="1" applyFont="1" applyFill="1" applyBorder="1" applyAlignment="1">
      <alignment horizontal="right" vertical="center" wrapText="1"/>
    </xf>
    <xf numFmtId="171" fontId="69" fillId="0" borderId="0" xfId="0" applyNumberFormat="1" applyFont="1" applyFill="1" applyBorder="1" applyAlignment="1">
      <alignment horizontal="right" vertical="center" wrapText="1"/>
    </xf>
    <xf numFmtId="0" fontId="63" fillId="0" borderId="0" xfId="0" applyFont="1" applyFill="1" applyBorder="1" applyAlignment="1">
      <alignment vertical="center"/>
    </xf>
    <xf numFmtId="0" fontId="69" fillId="0" borderId="3" xfId="0" applyFont="1" applyFill="1" applyBorder="1" applyAlignment="1">
      <alignment horizontal="center" vertical="center"/>
    </xf>
    <xf numFmtId="180" fontId="71" fillId="0" borderId="3" xfId="0" applyNumberFormat="1" applyFont="1" applyFill="1" applyBorder="1" applyAlignment="1">
      <alignment horizontal="right" vertical="center" wrapText="1"/>
    </xf>
    <xf numFmtId="179" fontId="63" fillId="0" borderId="3" xfId="0" applyNumberFormat="1" applyFont="1" applyFill="1" applyBorder="1" applyAlignment="1">
      <alignment horizontal="center" vertical="center"/>
    </xf>
    <xf numFmtId="182" fontId="69" fillId="0" borderId="3" xfId="0" applyNumberFormat="1" applyFont="1" applyFill="1" applyBorder="1" applyAlignment="1">
      <alignment horizontal="right" vertical="center" wrapText="1"/>
    </xf>
    <xf numFmtId="0" fontId="69" fillId="0" borderId="15" xfId="0" applyFont="1" applyFill="1" applyBorder="1" applyAlignment="1">
      <alignment horizontal="center" vertical="center"/>
    </xf>
    <xf numFmtId="179" fontId="95" fillId="0" borderId="3" xfId="0" applyNumberFormat="1" applyFont="1" applyFill="1" applyBorder="1" applyAlignment="1">
      <alignment horizontal="center" vertical="center"/>
    </xf>
    <xf numFmtId="49" fontId="69" fillId="0" borderId="15" xfId="0" applyNumberFormat="1" applyFont="1" applyFill="1" applyBorder="1" applyAlignment="1">
      <alignment horizontal="center" vertical="center"/>
    </xf>
    <xf numFmtId="0" fontId="64" fillId="0" borderId="16" xfId="0" applyFont="1" applyFill="1" applyBorder="1" applyAlignment="1">
      <alignment horizontal="left" vertical="center" wrapText="1"/>
    </xf>
    <xf numFmtId="182" fontId="69" fillId="0" borderId="3" xfId="0" applyNumberFormat="1" applyFont="1" applyFill="1" applyBorder="1" applyAlignment="1">
      <alignment horizontal="right" vertical="center"/>
    </xf>
    <xf numFmtId="0" fontId="69" fillId="0" borderId="15" xfId="0" applyFont="1" applyFill="1" applyBorder="1" applyAlignment="1">
      <alignment vertical="center"/>
    </xf>
    <xf numFmtId="0" fontId="69" fillId="0" borderId="3" xfId="0" applyFont="1" applyFill="1" applyBorder="1" applyAlignment="1">
      <alignment horizontal="right" vertical="center"/>
    </xf>
    <xf numFmtId="182" fontId="69" fillId="0" borderId="3" xfId="0" applyNumberFormat="1" applyFont="1" applyFill="1" applyBorder="1" applyAlignment="1">
      <alignment horizontal="right" vertical="center" wrapText="1" shrinkToFit="1"/>
    </xf>
    <xf numFmtId="0" fontId="71" fillId="0" borderId="3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vertical="center"/>
    </xf>
    <xf numFmtId="0" fontId="80" fillId="0" borderId="3" xfId="0" applyFont="1" applyFill="1" applyBorder="1" applyAlignment="1">
      <alignment horizontal="left" vertical="center" wrapText="1"/>
    </xf>
    <xf numFmtId="0" fontId="69" fillId="0" borderId="3" xfId="0" applyFont="1" applyFill="1" applyBorder="1" applyAlignment="1">
      <alignment horizontal="center"/>
    </xf>
    <xf numFmtId="0" fontId="71" fillId="0" borderId="3" xfId="0" applyFont="1" applyFill="1" applyBorder="1" applyAlignment="1">
      <alignment vertical="center"/>
    </xf>
    <xf numFmtId="0" fontId="69" fillId="0" borderId="18" xfId="0" applyFont="1" applyFill="1" applyBorder="1" applyAlignment="1">
      <alignment horizontal="center"/>
    </xf>
    <xf numFmtId="2" fontId="69" fillId="0" borderId="0" xfId="0" applyNumberFormat="1" applyFont="1" applyFill="1" applyBorder="1" applyAlignment="1">
      <alignment vertical="center"/>
    </xf>
    <xf numFmtId="179" fontId="96" fillId="0" borderId="3" xfId="0" applyNumberFormat="1" applyFont="1" applyFill="1" applyBorder="1" applyAlignment="1">
      <alignment horizontal="center" vertical="center"/>
    </xf>
    <xf numFmtId="179" fontId="95" fillId="0" borderId="3" xfId="0" applyNumberFormat="1" applyFont="1" applyFill="1" applyBorder="1" applyAlignment="1">
      <alignment vertical="center"/>
    </xf>
    <xf numFmtId="179" fontId="96" fillId="0" borderId="3" xfId="0" applyNumberFormat="1" applyFont="1" applyFill="1" applyBorder="1" applyAlignment="1">
      <alignment vertical="center"/>
    </xf>
    <xf numFmtId="0" fontId="69" fillId="29" borderId="0" xfId="0" applyFont="1" applyFill="1" applyBorder="1" applyAlignment="1">
      <alignment vertical="center"/>
    </xf>
    <xf numFmtId="179" fontId="62" fillId="0" borderId="3" xfId="0" applyNumberFormat="1" applyFont="1" applyFill="1" applyBorder="1" applyAlignment="1">
      <alignment horizontal="center" vertical="center" wrapText="1"/>
    </xf>
    <xf numFmtId="179" fontId="103" fillId="0" borderId="3" xfId="0" applyNumberFormat="1" applyFont="1" applyFill="1" applyBorder="1" applyAlignment="1">
      <alignment horizontal="center" vertical="center" wrapText="1"/>
    </xf>
    <xf numFmtId="0" fontId="70" fillId="0" borderId="0" xfId="0" applyFont="1" applyFill="1" applyBorder="1" applyAlignment="1">
      <alignment horizontal="center" vertical="center"/>
    </xf>
    <xf numFmtId="0" fontId="70" fillId="0" borderId="3" xfId="0" applyFont="1" applyFill="1" applyBorder="1" applyAlignment="1">
      <alignment horizontal="center" vertical="center"/>
    </xf>
    <xf numFmtId="0" fontId="70" fillId="0" borderId="3" xfId="0" applyFont="1" applyFill="1" applyBorder="1" applyAlignment="1">
      <alignment horizontal="center" vertical="center" wrapText="1"/>
    </xf>
    <xf numFmtId="0" fontId="68" fillId="0" borderId="3" xfId="0" applyFont="1" applyFill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center" vertical="center" wrapText="1"/>
    </xf>
    <xf numFmtId="0" fontId="71" fillId="0" borderId="16" xfId="0" applyFont="1" applyFill="1" applyBorder="1" applyAlignment="1">
      <alignment horizontal="left" vertical="center" wrapText="1"/>
    </xf>
    <xf numFmtId="0" fontId="64" fillId="0" borderId="0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horizontal="center" vertical="center" wrapText="1"/>
    </xf>
    <xf numFmtId="0" fontId="67" fillId="0" borderId="15" xfId="0" applyFont="1" applyFill="1" applyBorder="1" applyAlignment="1">
      <alignment horizontal="center" vertical="center" wrapText="1"/>
    </xf>
    <xf numFmtId="0" fontId="67" fillId="0" borderId="0" xfId="0" applyFont="1" applyFill="1" applyBorder="1" applyAlignment="1">
      <alignment vertical="center"/>
    </xf>
    <xf numFmtId="179" fontId="97" fillId="0" borderId="3" xfId="0" applyNumberFormat="1" applyFont="1" applyFill="1" applyBorder="1" applyAlignment="1">
      <alignment horizontal="center" vertical="center" wrapText="1"/>
    </xf>
    <xf numFmtId="49" fontId="63" fillId="0" borderId="3" xfId="0" applyNumberFormat="1" applyFont="1" applyFill="1" applyBorder="1" applyAlignment="1">
      <alignment horizontal="center" vertical="center" wrapText="1"/>
    </xf>
    <xf numFmtId="179" fontId="100" fillId="0" borderId="3" xfId="0" applyNumberFormat="1" applyFont="1" applyFill="1" applyBorder="1" applyAlignment="1">
      <alignment horizontal="center" vertical="center" wrapText="1"/>
    </xf>
    <xf numFmtId="0" fontId="71" fillId="0" borderId="3" xfId="0" applyFont="1" applyFill="1" applyBorder="1" applyAlignment="1">
      <alignment horizontal="left" vertical="center" wrapText="1"/>
    </xf>
    <xf numFmtId="179" fontId="96" fillId="0" borderId="3" xfId="0" applyNumberFormat="1" applyFont="1" applyFill="1" applyBorder="1" applyAlignment="1">
      <alignment horizontal="center" vertical="center" wrapText="1"/>
    </xf>
    <xf numFmtId="179" fontId="101" fillId="0" borderId="3" xfId="0" applyNumberFormat="1" applyFont="1" applyFill="1" applyBorder="1" applyAlignment="1">
      <alignment horizontal="center" vertical="center" wrapText="1"/>
    </xf>
    <xf numFmtId="179" fontId="95" fillId="0" borderId="3" xfId="0" applyNumberFormat="1" applyFont="1" applyFill="1" applyBorder="1" applyAlignment="1">
      <alignment horizontal="center" vertical="center" wrapText="1"/>
    </xf>
    <xf numFmtId="0" fontId="71" fillId="0" borderId="3" xfId="0" applyFont="1" applyFill="1" applyBorder="1" applyAlignment="1">
      <alignment horizontal="left" wrapText="1"/>
    </xf>
    <xf numFmtId="179" fontId="104" fillId="0" borderId="3" xfId="0" applyNumberFormat="1" applyFont="1" applyFill="1" applyBorder="1" applyAlignment="1">
      <alignment horizontal="center" vertical="center" wrapText="1"/>
    </xf>
    <xf numFmtId="0" fontId="63" fillId="0" borderId="15" xfId="0" applyFont="1" applyFill="1" applyBorder="1" applyAlignment="1">
      <alignment horizontal="left" vertical="center" wrapText="1"/>
    </xf>
    <xf numFmtId="0" fontId="70" fillId="0" borderId="0" xfId="0" applyFont="1" applyFill="1" applyAlignment="1">
      <alignment horizontal="center" vertical="center"/>
    </xf>
    <xf numFmtId="0" fontId="68" fillId="0" borderId="13" xfId="0" applyFont="1" applyFill="1" applyBorder="1" applyAlignment="1">
      <alignment horizontal="center"/>
    </xf>
    <xf numFmtId="0" fontId="73" fillId="0" borderId="15" xfId="0" applyFont="1" applyFill="1" applyBorder="1" applyAlignment="1">
      <alignment horizontal="center" vertical="center"/>
    </xf>
    <xf numFmtId="0" fontId="73" fillId="0" borderId="14" xfId="0" applyFont="1" applyFill="1" applyBorder="1" applyAlignment="1">
      <alignment horizontal="center" vertical="center"/>
    </xf>
    <xf numFmtId="0" fontId="73" fillId="0" borderId="16" xfId="0" applyFont="1" applyFill="1" applyBorder="1" applyAlignment="1">
      <alignment horizontal="center" vertical="center"/>
    </xf>
    <xf numFmtId="0" fontId="70" fillId="0" borderId="15" xfId="0" applyFont="1" applyFill="1" applyBorder="1" applyAlignment="1">
      <alignment horizontal="center" vertical="center" wrapText="1"/>
    </xf>
    <xf numFmtId="0" fontId="70" fillId="0" borderId="16" xfId="0" applyFont="1" applyFill="1" applyBorder="1" applyAlignment="1">
      <alignment horizontal="center" vertical="center" wrapText="1"/>
    </xf>
    <xf numFmtId="0" fontId="70" fillId="0" borderId="17" xfId="0" applyFont="1" applyFill="1" applyBorder="1" applyAlignment="1">
      <alignment horizontal="center" vertical="center" wrapText="1"/>
    </xf>
    <xf numFmtId="0" fontId="70" fillId="0" borderId="18" xfId="0" applyFont="1" applyFill="1" applyBorder="1" applyAlignment="1">
      <alignment horizontal="center" vertical="center" wrapText="1"/>
    </xf>
    <xf numFmtId="0" fontId="70" fillId="0" borderId="22" xfId="0" applyFont="1" applyFill="1" applyBorder="1" applyAlignment="1">
      <alignment horizontal="center" vertical="center" wrapText="1"/>
    </xf>
    <xf numFmtId="0" fontId="70" fillId="0" borderId="23" xfId="0" applyFont="1" applyFill="1" applyBorder="1" applyAlignment="1">
      <alignment horizontal="center" vertical="center" wrapText="1"/>
    </xf>
    <xf numFmtId="0" fontId="70" fillId="0" borderId="17" xfId="0" applyFont="1" applyFill="1" applyBorder="1" applyAlignment="1">
      <alignment horizontal="center" vertical="center"/>
    </xf>
    <xf numFmtId="0" fontId="70" fillId="0" borderId="18" xfId="0" applyFont="1" applyFill="1" applyBorder="1" applyAlignment="1">
      <alignment horizontal="center" vertical="center"/>
    </xf>
    <xf numFmtId="171" fontId="70" fillId="0" borderId="14" xfId="0" quotePrefix="1" applyNumberFormat="1" applyFont="1" applyFill="1" applyBorder="1" applyAlignment="1">
      <alignment horizontal="center" wrapText="1"/>
    </xf>
    <xf numFmtId="0" fontId="70" fillId="0" borderId="0" xfId="0" applyFont="1" applyFill="1" applyBorder="1" applyAlignment="1">
      <alignment horizontal="center" vertical="center"/>
    </xf>
    <xf numFmtId="0" fontId="73" fillId="0" borderId="0" xfId="0" applyFont="1" applyFill="1" applyBorder="1" applyAlignment="1">
      <alignment horizontal="center" vertical="center"/>
    </xf>
    <xf numFmtId="0" fontId="73" fillId="0" borderId="0" xfId="0" applyFont="1" applyFill="1" applyBorder="1" applyAlignment="1">
      <alignment horizontal="center" vertical="top" wrapText="1"/>
    </xf>
    <xf numFmtId="0" fontId="73" fillId="0" borderId="0" xfId="0" applyFont="1" applyFill="1" applyBorder="1" applyAlignment="1">
      <alignment horizontal="center" vertical="top"/>
    </xf>
    <xf numFmtId="0" fontId="73" fillId="0" borderId="3" xfId="0" applyFont="1" applyFill="1" applyBorder="1" applyAlignment="1">
      <alignment horizontal="center" vertical="center"/>
    </xf>
    <xf numFmtId="0" fontId="73" fillId="0" borderId="15" xfId="0" applyFont="1" applyFill="1" applyBorder="1" applyAlignment="1" applyProtection="1">
      <alignment horizontal="center" vertical="center"/>
      <protection locked="0"/>
    </xf>
    <xf numFmtId="0" fontId="73" fillId="0" borderId="14" xfId="0" applyFont="1" applyFill="1" applyBorder="1" applyAlignment="1" applyProtection="1">
      <alignment horizontal="center" vertical="center"/>
      <protection locked="0"/>
    </xf>
    <xf numFmtId="0" fontId="73" fillId="0" borderId="16" xfId="0" applyFont="1" applyFill="1" applyBorder="1" applyAlignment="1" applyProtection="1">
      <alignment horizontal="center" vertical="center"/>
      <protection locked="0"/>
    </xf>
    <xf numFmtId="0" fontId="70" fillId="0" borderId="3" xfId="0" applyFont="1" applyFill="1" applyBorder="1" applyAlignment="1">
      <alignment horizontal="center" vertical="center"/>
    </xf>
    <xf numFmtId="0" fontId="70" fillId="0" borderId="3" xfId="0" applyFont="1" applyFill="1" applyBorder="1" applyAlignment="1">
      <alignment horizontal="center" vertical="center" wrapText="1"/>
    </xf>
    <xf numFmtId="0" fontId="73" fillId="0" borderId="3" xfId="0" applyFont="1" applyFill="1" applyBorder="1" applyAlignment="1">
      <alignment horizontal="center" vertical="center" wrapText="1"/>
    </xf>
    <xf numFmtId="0" fontId="68" fillId="0" borderId="3" xfId="0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center" wrapText="1"/>
    </xf>
    <xf numFmtId="0" fontId="71" fillId="0" borderId="15" xfId="0" applyFont="1" applyFill="1" applyBorder="1" applyAlignment="1">
      <alignment horizontal="left" vertical="center" wrapText="1"/>
    </xf>
    <xf numFmtId="0" fontId="71" fillId="0" borderId="16" xfId="0" applyFont="1" applyFill="1" applyBorder="1" applyAlignment="1">
      <alignment horizontal="left" vertical="center" wrapText="1"/>
    </xf>
    <xf numFmtId="0" fontId="64" fillId="0" borderId="0" xfId="0" applyFont="1" applyFill="1" applyBorder="1" applyAlignment="1">
      <alignment horizontal="center" vertical="center" wrapText="1"/>
    </xf>
    <xf numFmtId="0" fontId="71" fillId="0" borderId="15" xfId="0" applyFont="1" applyFill="1" applyBorder="1" applyAlignment="1">
      <alignment horizontal="center" vertical="center" wrapText="1"/>
    </xf>
    <xf numFmtId="0" fontId="71" fillId="0" borderId="16" xfId="0" applyFont="1" applyFill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center" vertical="center" wrapText="1"/>
    </xf>
    <xf numFmtId="171" fontId="72" fillId="0" borderId="13" xfId="0" applyNumberFormat="1" applyFont="1" applyFill="1" applyBorder="1" applyAlignment="1">
      <alignment horizontal="left" wrapText="1"/>
    </xf>
    <xf numFmtId="0" fontId="64" fillId="0" borderId="19" xfId="0" applyFont="1" applyFill="1" applyBorder="1" applyAlignment="1">
      <alignment horizontal="center" vertical="center" wrapText="1"/>
    </xf>
    <xf numFmtId="0" fontId="71" fillId="0" borderId="15" xfId="0" applyFont="1" applyFill="1" applyBorder="1" applyAlignment="1">
      <alignment horizontal="center" vertical="center"/>
    </xf>
    <xf numFmtId="0" fontId="71" fillId="0" borderId="16" xfId="0" applyFont="1" applyFill="1" applyBorder="1" applyAlignment="1">
      <alignment horizontal="center" vertical="center"/>
    </xf>
    <xf numFmtId="2" fontId="71" fillId="0" borderId="15" xfId="0" applyNumberFormat="1" applyFont="1" applyFill="1" applyBorder="1" applyAlignment="1">
      <alignment horizontal="left" vertical="center" wrapText="1"/>
    </xf>
    <xf numFmtId="2" fontId="71" fillId="0" borderId="16" xfId="0" applyNumberFormat="1" applyFont="1" applyFill="1" applyBorder="1" applyAlignment="1">
      <alignment horizontal="left" vertical="center" wrapText="1"/>
    </xf>
    <xf numFmtId="0" fontId="69" fillId="0" borderId="19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horizontal="center" vertical="center" wrapText="1"/>
    </xf>
    <xf numFmtId="0" fontId="94" fillId="0" borderId="0" xfId="0" applyFont="1" applyFill="1" applyBorder="1" applyAlignment="1">
      <alignment horizontal="center" wrapText="1"/>
    </xf>
    <xf numFmtId="171" fontId="99" fillId="0" borderId="13" xfId="0" applyNumberFormat="1" applyFont="1" applyFill="1" applyBorder="1" applyAlignment="1">
      <alignment horizontal="left" wrapText="1"/>
    </xf>
    <xf numFmtId="0" fontId="71" fillId="0" borderId="14" xfId="0" applyFont="1" applyFill="1" applyBorder="1" applyAlignment="1">
      <alignment horizontal="center" wrapText="1"/>
    </xf>
    <xf numFmtId="0" fontId="67" fillId="0" borderId="19" xfId="0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 vertical="center"/>
    </xf>
    <xf numFmtId="0" fontId="84" fillId="0" borderId="14" xfId="0" applyFont="1" applyFill="1" applyBorder="1" applyAlignment="1">
      <alignment horizontal="center"/>
    </xf>
    <xf numFmtId="0" fontId="105" fillId="0" borderId="0" xfId="0" applyFont="1" applyFill="1" applyAlignment="1">
      <alignment vertical="center" wrapText="1"/>
    </xf>
    <xf numFmtId="0" fontId="106" fillId="0" borderId="0" xfId="0" applyFont="1" applyFill="1" applyAlignment="1">
      <alignment vertical="center" wrapText="1"/>
    </xf>
    <xf numFmtId="0" fontId="67" fillId="0" borderId="17" xfId="0" applyFont="1" applyFill="1" applyBorder="1" applyAlignment="1">
      <alignment horizontal="center" vertical="center" wrapText="1"/>
    </xf>
    <xf numFmtId="0" fontId="67" fillId="0" borderId="18" xfId="0" applyFont="1" applyFill="1" applyBorder="1" applyAlignment="1">
      <alignment horizontal="center" vertical="center" wrapText="1"/>
    </xf>
    <xf numFmtId="0" fontId="67" fillId="0" borderId="15" xfId="0" applyFont="1" applyFill="1" applyBorder="1" applyAlignment="1">
      <alignment horizontal="center" vertical="center" wrapText="1"/>
    </xf>
    <xf numFmtId="0" fontId="67" fillId="0" borderId="14" xfId="0" applyFont="1" applyFill="1" applyBorder="1" applyAlignment="1">
      <alignment horizontal="center" vertical="center" wrapText="1"/>
    </xf>
    <xf numFmtId="0" fontId="67" fillId="0" borderId="16" xfId="0" applyFont="1" applyFill="1" applyBorder="1" applyAlignment="1">
      <alignment horizontal="center" vertical="center" wrapText="1"/>
    </xf>
    <xf numFmtId="3" fontId="63" fillId="0" borderId="3" xfId="0" applyNumberFormat="1" applyFont="1" applyFill="1" applyBorder="1" applyAlignment="1">
      <alignment horizontal="left" vertical="center" wrapText="1"/>
    </xf>
    <xf numFmtId="0" fontId="67" fillId="0" borderId="20" xfId="0" applyFont="1" applyFill="1" applyBorder="1" applyAlignment="1">
      <alignment horizontal="center" vertical="center" wrapText="1"/>
    </xf>
    <xf numFmtId="0" fontId="67" fillId="0" borderId="21" xfId="0" applyFont="1" applyFill="1" applyBorder="1" applyAlignment="1">
      <alignment horizontal="center" vertical="center" wrapText="1"/>
    </xf>
    <xf numFmtId="0" fontId="67" fillId="0" borderId="0" xfId="0" applyFont="1" applyFill="1" applyBorder="1" applyAlignment="1">
      <alignment vertical="center"/>
    </xf>
    <xf numFmtId="0" fontId="82" fillId="0" borderId="0" xfId="0" applyFont="1" applyFill="1" applyBorder="1" applyAlignment="1">
      <alignment horizontal="center" wrapText="1"/>
    </xf>
    <xf numFmtId="0" fontId="81" fillId="0" borderId="14" xfId="0" applyFont="1" applyFill="1" applyBorder="1" applyAlignment="1">
      <alignment horizontal="center"/>
    </xf>
  </cellXfs>
  <cellStyles count="354">
    <cellStyle name="_Fakt_2" xfId="1" xr:uid="{00000000-0005-0000-0000-000000000000}"/>
    <cellStyle name="_rozhufrovka 2009" xfId="2" xr:uid="{00000000-0005-0000-0000-000001000000}"/>
    <cellStyle name="_АТиСТ 5а МТР липень 2008" xfId="3" xr:uid="{00000000-0005-0000-0000-000002000000}"/>
    <cellStyle name="_ПРГК сводний_" xfId="4" xr:uid="{00000000-0005-0000-0000-000003000000}"/>
    <cellStyle name="_УТГ" xfId="5" xr:uid="{00000000-0005-0000-0000-000004000000}"/>
    <cellStyle name="_Феодосия 5а МТР липень 2008" xfId="6" xr:uid="{00000000-0005-0000-0000-000005000000}"/>
    <cellStyle name="_ХТГ довідка." xfId="7" xr:uid="{00000000-0005-0000-0000-000006000000}"/>
    <cellStyle name="_Шебелинка 5а МТР липень 2008" xfId="8" xr:uid="{00000000-0005-0000-0000-000007000000}"/>
    <cellStyle name="20% - Accent1" xfId="9" xr:uid="{00000000-0005-0000-0000-000008000000}"/>
    <cellStyle name="20% - Accent2" xfId="10" xr:uid="{00000000-0005-0000-0000-000009000000}"/>
    <cellStyle name="20% - Accent3" xfId="11" xr:uid="{00000000-0005-0000-0000-00000A000000}"/>
    <cellStyle name="20% - Accent4" xfId="12" xr:uid="{00000000-0005-0000-0000-00000B000000}"/>
    <cellStyle name="20% - Accent5" xfId="13" xr:uid="{00000000-0005-0000-0000-00000C000000}"/>
    <cellStyle name="20% - Accent6" xfId="14" xr:uid="{00000000-0005-0000-0000-00000D000000}"/>
    <cellStyle name="20% - Акцент1 2" xfId="15" xr:uid="{00000000-0005-0000-0000-00000E000000}"/>
    <cellStyle name="20% - Акцент1 3" xfId="16" xr:uid="{00000000-0005-0000-0000-00000F000000}"/>
    <cellStyle name="20% - Акцент2 2" xfId="17" xr:uid="{00000000-0005-0000-0000-000010000000}"/>
    <cellStyle name="20% - Акцент2 3" xfId="18" xr:uid="{00000000-0005-0000-0000-000011000000}"/>
    <cellStyle name="20% - Акцент3 2" xfId="19" xr:uid="{00000000-0005-0000-0000-000012000000}"/>
    <cellStyle name="20% - Акцент3 3" xfId="20" xr:uid="{00000000-0005-0000-0000-000013000000}"/>
    <cellStyle name="20% - Акцент4 2" xfId="21" xr:uid="{00000000-0005-0000-0000-000014000000}"/>
    <cellStyle name="20% - Акцент4 3" xfId="22" xr:uid="{00000000-0005-0000-0000-000015000000}"/>
    <cellStyle name="20% - Акцент5 2" xfId="23" xr:uid="{00000000-0005-0000-0000-000016000000}"/>
    <cellStyle name="20% - Акцент5 3" xfId="24" xr:uid="{00000000-0005-0000-0000-000017000000}"/>
    <cellStyle name="20% - Акцент6 2" xfId="25" xr:uid="{00000000-0005-0000-0000-000018000000}"/>
    <cellStyle name="20% - Акцент6 3" xfId="26" xr:uid="{00000000-0005-0000-0000-000019000000}"/>
    <cellStyle name="40% - Accent1" xfId="27" xr:uid="{00000000-0005-0000-0000-00001A000000}"/>
    <cellStyle name="40% - Accent2" xfId="28" xr:uid="{00000000-0005-0000-0000-00001B000000}"/>
    <cellStyle name="40% - Accent3" xfId="29" xr:uid="{00000000-0005-0000-0000-00001C000000}"/>
    <cellStyle name="40% - Accent4" xfId="30" xr:uid="{00000000-0005-0000-0000-00001D000000}"/>
    <cellStyle name="40% - Accent5" xfId="31" xr:uid="{00000000-0005-0000-0000-00001E000000}"/>
    <cellStyle name="40% - Accent6" xfId="32" xr:uid="{00000000-0005-0000-0000-00001F000000}"/>
    <cellStyle name="40% - Акцент1 2" xfId="33" xr:uid="{00000000-0005-0000-0000-000020000000}"/>
    <cellStyle name="40% - Акцент1 3" xfId="34" xr:uid="{00000000-0005-0000-0000-000021000000}"/>
    <cellStyle name="40% - Акцент2 2" xfId="35" xr:uid="{00000000-0005-0000-0000-000022000000}"/>
    <cellStyle name="40% - Акцент2 3" xfId="36" xr:uid="{00000000-0005-0000-0000-000023000000}"/>
    <cellStyle name="40% - Акцент3 2" xfId="37" xr:uid="{00000000-0005-0000-0000-000024000000}"/>
    <cellStyle name="40% - Акцент3 3" xfId="38" xr:uid="{00000000-0005-0000-0000-000025000000}"/>
    <cellStyle name="40% - Акцент4 2" xfId="39" xr:uid="{00000000-0005-0000-0000-000026000000}"/>
    <cellStyle name="40% - Акцент4 3" xfId="40" xr:uid="{00000000-0005-0000-0000-000027000000}"/>
    <cellStyle name="40% - Акцент5 2" xfId="41" xr:uid="{00000000-0005-0000-0000-000028000000}"/>
    <cellStyle name="40% - Акцент5 3" xfId="42" xr:uid="{00000000-0005-0000-0000-000029000000}"/>
    <cellStyle name="40% - Акцент6 2" xfId="43" xr:uid="{00000000-0005-0000-0000-00002A000000}"/>
    <cellStyle name="40% - Акцент6 3" xfId="44" xr:uid="{00000000-0005-0000-0000-00002B000000}"/>
    <cellStyle name="60% - Accent1" xfId="45" xr:uid="{00000000-0005-0000-0000-00002C000000}"/>
    <cellStyle name="60% - Accent2" xfId="46" xr:uid="{00000000-0005-0000-0000-00002D000000}"/>
    <cellStyle name="60% - Accent3" xfId="47" xr:uid="{00000000-0005-0000-0000-00002E000000}"/>
    <cellStyle name="60% - Accent4" xfId="48" xr:uid="{00000000-0005-0000-0000-00002F000000}"/>
    <cellStyle name="60% - Accent5" xfId="49" xr:uid="{00000000-0005-0000-0000-000030000000}"/>
    <cellStyle name="60% - Accent6" xfId="50" xr:uid="{00000000-0005-0000-0000-000031000000}"/>
    <cellStyle name="60% - Акцент1 2" xfId="51" xr:uid="{00000000-0005-0000-0000-000032000000}"/>
    <cellStyle name="60% - Акцент1 3" xfId="52" xr:uid="{00000000-0005-0000-0000-000033000000}"/>
    <cellStyle name="60% - Акцент2 2" xfId="53" xr:uid="{00000000-0005-0000-0000-000034000000}"/>
    <cellStyle name="60% - Акцент2 3" xfId="54" xr:uid="{00000000-0005-0000-0000-000035000000}"/>
    <cellStyle name="60% - Акцент3 2" xfId="55" xr:uid="{00000000-0005-0000-0000-000036000000}"/>
    <cellStyle name="60% - Акцент3 3" xfId="56" xr:uid="{00000000-0005-0000-0000-000037000000}"/>
    <cellStyle name="60% - Акцент4 2" xfId="57" xr:uid="{00000000-0005-0000-0000-000038000000}"/>
    <cellStyle name="60% - Акцент4 3" xfId="58" xr:uid="{00000000-0005-0000-0000-000039000000}"/>
    <cellStyle name="60% - Акцент5 2" xfId="59" xr:uid="{00000000-0005-0000-0000-00003A000000}"/>
    <cellStyle name="60% - Акцент5 3" xfId="60" xr:uid="{00000000-0005-0000-0000-00003B000000}"/>
    <cellStyle name="60% - Акцент6 2" xfId="61" xr:uid="{00000000-0005-0000-0000-00003C000000}"/>
    <cellStyle name="60% - Акцент6 3" xfId="62" xr:uid="{00000000-0005-0000-0000-00003D000000}"/>
    <cellStyle name="Accent1" xfId="63" xr:uid="{00000000-0005-0000-0000-00003E000000}"/>
    <cellStyle name="Accent2" xfId="64" xr:uid="{00000000-0005-0000-0000-00003F000000}"/>
    <cellStyle name="Accent3" xfId="65" xr:uid="{00000000-0005-0000-0000-000040000000}"/>
    <cellStyle name="Accent4" xfId="66" xr:uid="{00000000-0005-0000-0000-000041000000}"/>
    <cellStyle name="Accent5" xfId="67" xr:uid="{00000000-0005-0000-0000-000042000000}"/>
    <cellStyle name="Accent6" xfId="68" xr:uid="{00000000-0005-0000-0000-000043000000}"/>
    <cellStyle name="Bad" xfId="69" xr:uid="{00000000-0005-0000-0000-000044000000}"/>
    <cellStyle name="Calculation" xfId="70" xr:uid="{00000000-0005-0000-0000-000045000000}"/>
    <cellStyle name="Check Cell" xfId="71" xr:uid="{00000000-0005-0000-0000-000046000000}"/>
    <cellStyle name="Column-Header" xfId="72" xr:uid="{00000000-0005-0000-0000-000047000000}"/>
    <cellStyle name="Column-Header 2" xfId="73" xr:uid="{00000000-0005-0000-0000-000048000000}"/>
    <cellStyle name="Column-Header 3" xfId="74" xr:uid="{00000000-0005-0000-0000-000049000000}"/>
    <cellStyle name="Column-Header 4" xfId="75" xr:uid="{00000000-0005-0000-0000-00004A000000}"/>
    <cellStyle name="Column-Header 5" xfId="76" xr:uid="{00000000-0005-0000-0000-00004B000000}"/>
    <cellStyle name="Column-Header 6" xfId="77" xr:uid="{00000000-0005-0000-0000-00004C000000}"/>
    <cellStyle name="Column-Header 7" xfId="78" xr:uid="{00000000-0005-0000-0000-00004D000000}"/>
    <cellStyle name="Column-Header 7 2" xfId="79" xr:uid="{00000000-0005-0000-0000-00004E000000}"/>
    <cellStyle name="Column-Header 8" xfId="80" xr:uid="{00000000-0005-0000-0000-00004F000000}"/>
    <cellStyle name="Column-Header 8 2" xfId="81" xr:uid="{00000000-0005-0000-0000-000050000000}"/>
    <cellStyle name="Column-Header 9" xfId="82" xr:uid="{00000000-0005-0000-0000-000051000000}"/>
    <cellStyle name="Column-Header 9 2" xfId="83" xr:uid="{00000000-0005-0000-0000-000052000000}"/>
    <cellStyle name="Column-Header_Zvit rux-koshtiv 2010 Департамент " xfId="84" xr:uid="{00000000-0005-0000-0000-000053000000}"/>
    <cellStyle name="Comma_2005_03_15-Финансовый_БГ" xfId="85" xr:uid="{00000000-0005-0000-0000-000054000000}"/>
    <cellStyle name="Define-Column" xfId="86" xr:uid="{00000000-0005-0000-0000-000055000000}"/>
    <cellStyle name="Define-Column 10" xfId="87" xr:uid="{00000000-0005-0000-0000-000056000000}"/>
    <cellStyle name="Define-Column 2" xfId="88" xr:uid="{00000000-0005-0000-0000-000057000000}"/>
    <cellStyle name="Define-Column 3" xfId="89" xr:uid="{00000000-0005-0000-0000-000058000000}"/>
    <cellStyle name="Define-Column 4" xfId="90" xr:uid="{00000000-0005-0000-0000-000059000000}"/>
    <cellStyle name="Define-Column 5" xfId="91" xr:uid="{00000000-0005-0000-0000-00005A000000}"/>
    <cellStyle name="Define-Column 6" xfId="92" xr:uid="{00000000-0005-0000-0000-00005B000000}"/>
    <cellStyle name="Define-Column 7" xfId="93" xr:uid="{00000000-0005-0000-0000-00005C000000}"/>
    <cellStyle name="Define-Column 7 2" xfId="94" xr:uid="{00000000-0005-0000-0000-00005D000000}"/>
    <cellStyle name="Define-Column 7 3" xfId="95" xr:uid="{00000000-0005-0000-0000-00005E000000}"/>
    <cellStyle name="Define-Column 8" xfId="96" xr:uid="{00000000-0005-0000-0000-00005F000000}"/>
    <cellStyle name="Define-Column 8 2" xfId="97" xr:uid="{00000000-0005-0000-0000-000060000000}"/>
    <cellStyle name="Define-Column 8 3" xfId="98" xr:uid="{00000000-0005-0000-0000-000061000000}"/>
    <cellStyle name="Define-Column 9" xfId="99" xr:uid="{00000000-0005-0000-0000-000062000000}"/>
    <cellStyle name="Define-Column 9 2" xfId="100" xr:uid="{00000000-0005-0000-0000-000063000000}"/>
    <cellStyle name="Define-Column 9 3" xfId="101" xr:uid="{00000000-0005-0000-0000-000064000000}"/>
    <cellStyle name="Define-Column_Zvit rux-koshtiv 2010 Департамент " xfId="102" xr:uid="{00000000-0005-0000-0000-000065000000}"/>
    <cellStyle name="Explanatory Text" xfId="103" xr:uid="{00000000-0005-0000-0000-000066000000}"/>
    <cellStyle name="FS10" xfId="104" xr:uid="{00000000-0005-0000-0000-000067000000}"/>
    <cellStyle name="Good" xfId="105" xr:uid="{00000000-0005-0000-0000-000068000000}"/>
    <cellStyle name="Heading 1" xfId="106" xr:uid="{00000000-0005-0000-0000-000069000000}"/>
    <cellStyle name="Heading 2" xfId="107" xr:uid="{00000000-0005-0000-0000-00006A000000}"/>
    <cellStyle name="Heading 3" xfId="108" xr:uid="{00000000-0005-0000-0000-00006B000000}"/>
    <cellStyle name="Heading 4" xfId="109" xr:uid="{00000000-0005-0000-0000-00006C000000}"/>
    <cellStyle name="Hyperlink 2" xfId="110" xr:uid="{00000000-0005-0000-0000-00006D000000}"/>
    <cellStyle name="Input" xfId="111" xr:uid="{00000000-0005-0000-0000-00006E000000}"/>
    <cellStyle name="Level0" xfId="112" xr:uid="{00000000-0005-0000-0000-00006F000000}"/>
    <cellStyle name="Level0 10" xfId="113" xr:uid="{00000000-0005-0000-0000-000070000000}"/>
    <cellStyle name="Level0 2" xfId="114" xr:uid="{00000000-0005-0000-0000-000071000000}"/>
    <cellStyle name="Level0 2 2" xfId="115" xr:uid="{00000000-0005-0000-0000-000072000000}"/>
    <cellStyle name="Level0 3" xfId="116" xr:uid="{00000000-0005-0000-0000-000073000000}"/>
    <cellStyle name="Level0 3 2" xfId="117" xr:uid="{00000000-0005-0000-0000-000074000000}"/>
    <cellStyle name="Level0 4" xfId="118" xr:uid="{00000000-0005-0000-0000-000075000000}"/>
    <cellStyle name="Level0 4 2" xfId="119" xr:uid="{00000000-0005-0000-0000-000076000000}"/>
    <cellStyle name="Level0 5" xfId="120" xr:uid="{00000000-0005-0000-0000-000077000000}"/>
    <cellStyle name="Level0 6" xfId="121" xr:uid="{00000000-0005-0000-0000-000078000000}"/>
    <cellStyle name="Level0 7" xfId="122" xr:uid="{00000000-0005-0000-0000-000079000000}"/>
    <cellStyle name="Level0 7 2" xfId="123" xr:uid="{00000000-0005-0000-0000-00007A000000}"/>
    <cellStyle name="Level0 7 3" xfId="124" xr:uid="{00000000-0005-0000-0000-00007B000000}"/>
    <cellStyle name="Level0 8" xfId="125" xr:uid="{00000000-0005-0000-0000-00007C000000}"/>
    <cellStyle name="Level0 8 2" xfId="126" xr:uid="{00000000-0005-0000-0000-00007D000000}"/>
    <cellStyle name="Level0 8 3" xfId="127" xr:uid="{00000000-0005-0000-0000-00007E000000}"/>
    <cellStyle name="Level0 9" xfId="128" xr:uid="{00000000-0005-0000-0000-00007F000000}"/>
    <cellStyle name="Level0 9 2" xfId="129" xr:uid="{00000000-0005-0000-0000-000080000000}"/>
    <cellStyle name="Level0 9 3" xfId="130" xr:uid="{00000000-0005-0000-0000-000081000000}"/>
    <cellStyle name="Level0_Zvit rux-koshtiv 2010 Департамент " xfId="131" xr:uid="{00000000-0005-0000-0000-000082000000}"/>
    <cellStyle name="Level1" xfId="132" xr:uid="{00000000-0005-0000-0000-000083000000}"/>
    <cellStyle name="Level1 2" xfId="133" xr:uid="{00000000-0005-0000-0000-000084000000}"/>
    <cellStyle name="Level1-Numbers" xfId="134" xr:uid="{00000000-0005-0000-0000-000085000000}"/>
    <cellStyle name="Level1-Numbers 2" xfId="135" xr:uid="{00000000-0005-0000-0000-000086000000}"/>
    <cellStyle name="Level1-Numbers-Hide" xfId="136" xr:uid="{00000000-0005-0000-0000-000087000000}"/>
    <cellStyle name="Level2" xfId="137" xr:uid="{00000000-0005-0000-0000-000088000000}"/>
    <cellStyle name="Level2 2" xfId="138" xr:uid="{00000000-0005-0000-0000-000089000000}"/>
    <cellStyle name="Level2-Hide" xfId="139" xr:uid="{00000000-0005-0000-0000-00008A000000}"/>
    <cellStyle name="Level2-Hide 2" xfId="140" xr:uid="{00000000-0005-0000-0000-00008B000000}"/>
    <cellStyle name="Level2-Numbers" xfId="141" xr:uid="{00000000-0005-0000-0000-00008C000000}"/>
    <cellStyle name="Level2-Numbers 2" xfId="142" xr:uid="{00000000-0005-0000-0000-00008D000000}"/>
    <cellStyle name="Level2-Numbers-Hide" xfId="143" xr:uid="{00000000-0005-0000-0000-00008E000000}"/>
    <cellStyle name="Level3" xfId="144" xr:uid="{00000000-0005-0000-0000-00008F000000}"/>
    <cellStyle name="Level3 2" xfId="145" xr:uid="{00000000-0005-0000-0000-000090000000}"/>
    <cellStyle name="Level3 3" xfId="146" xr:uid="{00000000-0005-0000-0000-000091000000}"/>
    <cellStyle name="Level3_План департамент_2010_1207" xfId="147" xr:uid="{00000000-0005-0000-0000-000092000000}"/>
    <cellStyle name="Level3-Hide" xfId="148" xr:uid="{00000000-0005-0000-0000-000093000000}"/>
    <cellStyle name="Level3-Hide 2" xfId="149" xr:uid="{00000000-0005-0000-0000-000094000000}"/>
    <cellStyle name="Level3-Numbers" xfId="150" xr:uid="{00000000-0005-0000-0000-000095000000}"/>
    <cellStyle name="Level3-Numbers 2" xfId="151" xr:uid="{00000000-0005-0000-0000-000096000000}"/>
    <cellStyle name="Level3-Numbers 3" xfId="152" xr:uid="{00000000-0005-0000-0000-000097000000}"/>
    <cellStyle name="Level3-Numbers_План департамент_2010_1207" xfId="153" xr:uid="{00000000-0005-0000-0000-000098000000}"/>
    <cellStyle name="Level3-Numbers-Hide" xfId="154" xr:uid="{00000000-0005-0000-0000-000099000000}"/>
    <cellStyle name="Level4" xfId="155" xr:uid="{00000000-0005-0000-0000-00009A000000}"/>
    <cellStyle name="Level4 2" xfId="156" xr:uid="{00000000-0005-0000-0000-00009B000000}"/>
    <cellStyle name="Level4-Hide" xfId="157" xr:uid="{00000000-0005-0000-0000-00009C000000}"/>
    <cellStyle name="Level4-Hide 2" xfId="158" xr:uid="{00000000-0005-0000-0000-00009D000000}"/>
    <cellStyle name="Level4-Numbers" xfId="159" xr:uid="{00000000-0005-0000-0000-00009E000000}"/>
    <cellStyle name="Level4-Numbers 2" xfId="160" xr:uid="{00000000-0005-0000-0000-00009F000000}"/>
    <cellStyle name="Level4-Numbers-Hide" xfId="161" xr:uid="{00000000-0005-0000-0000-0000A0000000}"/>
    <cellStyle name="Level5" xfId="162" xr:uid="{00000000-0005-0000-0000-0000A1000000}"/>
    <cellStyle name="Level5 2" xfId="163" xr:uid="{00000000-0005-0000-0000-0000A2000000}"/>
    <cellStyle name="Level5-Hide" xfId="164" xr:uid="{00000000-0005-0000-0000-0000A3000000}"/>
    <cellStyle name="Level5-Hide 2" xfId="165" xr:uid="{00000000-0005-0000-0000-0000A4000000}"/>
    <cellStyle name="Level5-Numbers" xfId="166" xr:uid="{00000000-0005-0000-0000-0000A5000000}"/>
    <cellStyle name="Level5-Numbers 2" xfId="167" xr:uid="{00000000-0005-0000-0000-0000A6000000}"/>
    <cellStyle name="Level5-Numbers-Hide" xfId="168" xr:uid="{00000000-0005-0000-0000-0000A7000000}"/>
    <cellStyle name="Level6" xfId="169" xr:uid="{00000000-0005-0000-0000-0000A8000000}"/>
    <cellStyle name="Level6 2" xfId="170" xr:uid="{00000000-0005-0000-0000-0000A9000000}"/>
    <cellStyle name="Level6-Hide" xfId="171" xr:uid="{00000000-0005-0000-0000-0000AA000000}"/>
    <cellStyle name="Level6-Hide 2" xfId="172" xr:uid="{00000000-0005-0000-0000-0000AB000000}"/>
    <cellStyle name="Level6-Numbers" xfId="173" xr:uid="{00000000-0005-0000-0000-0000AC000000}"/>
    <cellStyle name="Level6-Numbers 2" xfId="174" xr:uid="{00000000-0005-0000-0000-0000AD000000}"/>
    <cellStyle name="Level7" xfId="175" xr:uid="{00000000-0005-0000-0000-0000AE000000}"/>
    <cellStyle name="Level7-Hide" xfId="176" xr:uid="{00000000-0005-0000-0000-0000AF000000}"/>
    <cellStyle name="Level7-Numbers" xfId="177" xr:uid="{00000000-0005-0000-0000-0000B0000000}"/>
    <cellStyle name="Linked Cell" xfId="178" xr:uid="{00000000-0005-0000-0000-0000B1000000}"/>
    <cellStyle name="Neutral" xfId="179" xr:uid="{00000000-0005-0000-0000-0000B2000000}"/>
    <cellStyle name="Normal 2" xfId="180" xr:uid="{00000000-0005-0000-0000-0000B3000000}"/>
    <cellStyle name="Normal_2005_03_15-Финансовый_БГ" xfId="181" xr:uid="{00000000-0005-0000-0000-0000B4000000}"/>
    <cellStyle name="Normal_GSE DCF_Model_31_07_09 final" xfId="182" xr:uid="{00000000-0005-0000-0000-0000B5000000}"/>
    <cellStyle name="Note" xfId="183" xr:uid="{00000000-0005-0000-0000-0000B6000000}"/>
    <cellStyle name="Number-Cells" xfId="184" xr:uid="{00000000-0005-0000-0000-0000B7000000}"/>
    <cellStyle name="Number-Cells-Column2" xfId="185" xr:uid="{00000000-0005-0000-0000-0000B8000000}"/>
    <cellStyle name="Number-Cells-Column5" xfId="186" xr:uid="{00000000-0005-0000-0000-0000B9000000}"/>
    <cellStyle name="Output" xfId="187" xr:uid="{00000000-0005-0000-0000-0000BA000000}"/>
    <cellStyle name="Row-Header" xfId="188" xr:uid="{00000000-0005-0000-0000-0000BB000000}"/>
    <cellStyle name="Row-Header 2" xfId="189" xr:uid="{00000000-0005-0000-0000-0000BC000000}"/>
    <cellStyle name="Title" xfId="190" xr:uid="{00000000-0005-0000-0000-0000BD000000}"/>
    <cellStyle name="Total" xfId="191" xr:uid="{00000000-0005-0000-0000-0000BE000000}"/>
    <cellStyle name="Warning Text" xfId="192" xr:uid="{00000000-0005-0000-0000-0000BF000000}"/>
    <cellStyle name="Акцент1 2" xfId="193" xr:uid="{00000000-0005-0000-0000-0000C0000000}"/>
    <cellStyle name="Акцент1 3" xfId="194" xr:uid="{00000000-0005-0000-0000-0000C1000000}"/>
    <cellStyle name="Акцент2 2" xfId="195" xr:uid="{00000000-0005-0000-0000-0000C2000000}"/>
    <cellStyle name="Акцент2 3" xfId="196" xr:uid="{00000000-0005-0000-0000-0000C3000000}"/>
    <cellStyle name="Акцент3 2" xfId="197" xr:uid="{00000000-0005-0000-0000-0000C4000000}"/>
    <cellStyle name="Акцент3 3" xfId="198" xr:uid="{00000000-0005-0000-0000-0000C5000000}"/>
    <cellStyle name="Акцент4 2" xfId="199" xr:uid="{00000000-0005-0000-0000-0000C6000000}"/>
    <cellStyle name="Акцент4 3" xfId="200" xr:uid="{00000000-0005-0000-0000-0000C7000000}"/>
    <cellStyle name="Акцент5 2" xfId="201" xr:uid="{00000000-0005-0000-0000-0000C8000000}"/>
    <cellStyle name="Акцент5 3" xfId="202" xr:uid="{00000000-0005-0000-0000-0000C9000000}"/>
    <cellStyle name="Акцент6 2" xfId="203" xr:uid="{00000000-0005-0000-0000-0000CA000000}"/>
    <cellStyle name="Акцент6 3" xfId="204" xr:uid="{00000000-0005-0000-0000-0000CB000000}"/>
    <cellStyle name="Ввод  2" xfId="205" xr:uid="{00000000-0005-0000-0000-0000CC000000}"/>
    <cellStyle name="Ввод  3" xfId="206" xr:uid="{00000000-0005-0000-0000-0000CD000000}"/>
    <cellStyle name="Вывод 2" xfId="207" xr:uid="{00000000-0005-0000-0000-0000CE000000}"/>
    <cellStyle name="Вывод 3" xfId="208" xr:uid="{00000000-0005-0000-0000-0000CF000000}"/>
    <cellStyle name="Вычисление 2" xfId="209" xr:uid="{00000000-0005-0000-0000-0000D0000000}"/>
    <cellStyle name="Вычисление 3" xfId="210" xr:uid="{00000000-0005-0000-0000-0000D1000000}"/>
    <cellStyle name="Денежный 2" xfId="211" xr:uid="{00000000-0005-0000-0000-0000D2000000}"/>
    <cellStyle name="Заголовок 1 2" xfId="212" xr:uid="{00000000-0005-0000-0000-0000D3000000}"/>
    <cellStyle name="Заголовок 1 3" xfId="213" xr:uid="{00000000-0005-0000-0000-0000D4000000}"/>
    <cellStyle name="Заголовок 2 2" xfId="214" xr:uid="{00000000-0005-0000-0000-0000D5000000}"/>
    <cellStyle name="Заголовок 2 3" xfId="215" xr:uid="{00000000-0005-0000-0000-0000D6000000}"/>
    <cellStyle name="Заголовок 3 2" xfId="216" xr:uid="{00000000-0005-0000-0000-0000D7000000}"/>
    <cellStyle name="Заголовок 3 3" xfId="217" xr:uid="{00000000-0005-0000-0000-0000D8000000}"/>
    <cellStyle name="Заголовок 4 2" xfId="218" xr:uid="{00000000-0005-0000-0000-0000D9000000}"/>
    <cellStyle name="Заголовок 4 3" xfId="219" xr:uid="{00000000-0005-0000-0000-0000DA000000}"/>
    <cellStyle name="Звичайний" xfId="0" builtinId="0"/>
    <cellStyle name="Итог 2" xfId="220" xr:uid="{00000000-0005-0000-0000-0000DB000000}"/>
    <cellStyle name="Итог 3" xfId="221" xr:uid="{00000000-0005-0000-0000-0000DC000000}"/>
    <cellStyle name="Контрольная ячейка 2" xfId="222" xr:uid="{00000000-0005-0000-0000-0000DD000000}"/>
    <cellStyle name="Контрольная ячейка 3" xfId="223" xr:uid="{00000000-0005-0000-0000-0000DE000000}"/>
    <cellStyle name="Название 2" xfId="224" xr:uid="{00000000-0005-0000-0000-0000DF000000}"/>
    <cellStyle name="Название 3" xfId="225" xr:uid="{00000000-0005-0000-0000-0000E0000000}"/>
    <cellStyle name="Нейтральный 2" xfId="226" xr:uid="{00000000-0005-0000-0000-0000E1000000}"/>
    <cellStyle name="Нейтральный 3" xfId="227" xr:uid="{00000000-0005-0000-0000-0000E2000000}"/>
    <cellStyle name="Обычный 10" xfId="228" xr:uid="{00000000-0005-0000-0000-0000E4000000}"/>
    <cellStyle name="Обычный 11" xfId="229" xr:uid="{00000000-0005-0000-0000-0000E5000000}"/>
    <cellStyle name="Обычный 12" xfId="230" xr:uid="{00000000-0005-0000-0000-0000E6000000}"/>
    <cellStyle name="Обычный 13" xfId="231" xr:uid="{00000000-0005-0000-0000-0000E7000000}"/>
    <cellStyle name="Обычный 14" xfId="232" xr:uid="{00000000-0005-0000-0000-0000E8000000}"/>
    <cellStyle name="Обычный 15" xfId="233" xr:uid="{00000000-0005-0000-0000-0000E9000000}"/>
    <cellStyle name="Обычный 16" xfId="234" xr:uid="{00000000-0005-0000-0000-0000EA000000}"/>
    <cellStyle name="Обычный 17" xfId="235" xr:uid="{00000000-0005-0000-0000-0000EB000000}"/>
    <cellStyle name="Обычный 18" xfId="236" xr:uid="{00000000-0005-0000-0000-0000EC000000}"/>
    <cellStyle name="Обычный 2" xfId="237" xr:uid="{00000000-0005-0000-0000-0000ED000000}"/>
    <cellStyle name="Обычный 2 10" xfId="238" xr:uid="{00000000-0005-0000-0000-0000EE000000}"/>
    <cellStyle name="Обычный 2 11" xfId="239" xr:uid="{00000000-0005-0000-0000-0000EF000000}"/>
    <cellStyle name="Обычный 2 12" xfId="240" xr:uid="{00000000-0005-0000-0000-0000F0000000}"/>
    <cellStyle name="Обычный 2 13" xfId="241" xr:uid="{00000000-0005-0000-0000-0000F1000000}"/>
    <cellStyle name="Обычный 2 14" xfId="242" xr:uid="{00000000-0005-0000-0000-0000F2000000}"/>
    <cellStyle name="Обычный 2 15" xfId="243" xr:uid="{00000000-0005-0000-0000-0000F3000000}"/>
    <cellStyle name="Обычный 2 16" xfId="244" xr:uid="{00000000-0005-0000-0000-0000F4000000}"/>
    <cellStyle name="Обычный 2 2" xfId="245" xr:uid="{00000000-0005-0000-0000-0000F5000000}"/>
    <cellStyle name="Обычный 2 2 2" xfId="246" xr:uid="{00000000-0005-0000-0000-0000F6000000}"/>
    <cellStyle name="Обычный 2 2 3" xfId="247" xr:uid="{00000000-0005-0000-0000-0000F7000000}"/>
    <cellStyle name="Обычный 2 2_Расшифровка прочих" xfId="248" xr:uid="{00000000-0005-0000-0000-0000F8000000}"/>
    <cellStyle name="Обычный 2 3" xfId="249" xr:uid="{00000000-0005-0000-0000-0000F9000000}"/>
    <cellStyle name="Обычный 2 4" xfId="250" xr:uid="{00000000-0005-0000-0000-0000FA000000}"/>
    <cellStyle name="Обычный 2 5" xfId="251" xr:uid="{00000000-0005-0000-0000-0000FB000000}"/>
    <cellStyle name="Обычный 2 6" xfId="252" xr:uid="{00000000-0005-0000-0000-0000FC000000}"/>
    <cellStyle name="Обычный 2 7" xfId="253" xr:uid="{00000000-0005-0000-0000-0000FD000000}"/>
    <cellStyle name="Обычный 2 8" xfId="254" xr:uid="{00000000-0005-0000-0000-0000FE000000}"/>
    <cellStyle name="Обычный 2 9" xfId="255" xr:uid="{00000000-0005-0000-0000-0000FF000000}"/>
    <cellStyle name="Обычный 2_2604-2010" xfId="256" xr:uid="{00000000-0005-0000-0000-000000010000}"/>
    <cellStyle name="Обычный 3" xfId="257" xr:uid="{00000000-0005-0000-0000-000001010000}"/>
    <cellStyle name="Обычный 3 10" xfId="258" xr:uid="{00000000-0005-0000-0000-000002010000}"/>
    <cellStyle name="Обычный 3 11" xfId="259" xr:uid="{00000000-0005-0000-0000-000003010000}"/>
    <cellStyle name="Обычный 3 12" xfId="260" xr:uid="{00000000-0005-0000-0000-000004010000}"/>
    <cellStyle name="Обычный 3 13" xfId="261" xr:uid="{00000000-0005-0000-0000-000005010000}"/>
    <cellStyle name="Обычный 3 14" xfId="262" xr:uid="{00000000-0005-0000-0000-000006010000}"/>
    <cellStyle name="Обычный 3 2" xfId="263" xr:uid="{00000000-0005-0000-0000-000007010000}"/>
    <cellStyle name="Обычный 3 3" xfId="264" xr:uid="{00000000-0005-0000-0000-000008010000}"/>
    <cellStyle name="Обычный 3 4" xfId="265" xr:uid="{00000000-0005-0000-0000-000009010000}"/>
    <cellStyle name="Обычный 3 5" xfId="266" xr:uid="{00000000-0005-0000-0000-00000A010000}"/>
    <cellStyle name="Обычный 3 6" xfId="267" xr:uid="{00000000-0005-0000-0000-00000B010000}"/>
    <cellStyle name="Обычный 3 7" xfId="268" xr:uid="{00000000-0005-0000-0000-00000C010000}"/>
    <cellStyle name="Обычный 3 8" xfId="269" xr:uid="{00000000-0005-0000-0000-00000D010000}"/>
    <cellStyle name="Обычный 3 9" xfId="270" xr:uid="{00000000-0005-0000-0000-00000E010000}"/>
    <cellStyle name="Обычный 3_Дефицит_7 млрд_0608_бс" xfId="271" xr:uid="{00000000-0005-0000-0000-00000F010000}"/>
    <cellStyle name="Обычный 4" xfId="272" xr:uid="{00000000-0005-0000-0000-000010010000}"/>
    <cellStyle name="Обычный 5" xfId="273" xr:uid="{00000000-0005-0000-0000-000011010000}"/>
    <cellStyle name="Обычный 5 2" xfId="274" xr:uid="{00000000-0005-0000-0000-000012010000}"/>
    <cellStyle name="Обычный 6" xfId="275" xr:uid="{00000000-0005-0000-0000-000013010000}"/>
    <cellStyle name="Обычный 6 2" xfId="276" xr:uid="{00000000-0005-0000-0000-000014010000}"/>
    <cellStyle name="Обычный 6 3" xfId="277" xr:uid="{00000000-0005-0000-0000-000015010000}"/>
    <cellStyle name="Обычный 6 4" xfId="278" xr:uid="{00000000-0005-0000-0000-000016010000}"/>
    <cellStyle name="Обычный 6_Дефицит_7 млрд_0608_бс" xfId="279" xr:uid="{00000000-0005-0000-0000-000017010000}"/>
    <cellStyle name="Обычный 7" xfId="280" xr:uid="{00000000-0005-0000-0000-000018010000}"/>
    <cellStyle name="Обычный 7 2" xfId="281" xr:uid="{00000000-0005-0000-0000-000019010000}"/>
    <cellStyle name="Обычный 8" xfId="282" xr:uid="{00000000-0005-0000-0000-00001A010000}"/>
    <cellStyle name="Обычный 9" xfId="283" xr:uid="{00000000-0005-0000-0000-00001B010000}"/>
    <cellStyle name="Обычный 9 2" xfId="284" xr:uid="{00000000-0005-0000-0000-00001C010000}"/>
    <cellStyle name="Обычный_1139" xfId="353" xr:uid="{00000000-0005-0000-0000-00001D010000}"/>
    <cellStyle name="Плохой 2" xfId="285" xr:uid="{00000000-0005-0000-0000-00001E010000}"/>
    <cellStyle name="Плохой 3" xfId="286" xr:uid="{00000000-0005-0000-0000-00001F010000}"/>
    <cellStyle name="Пояснение 2" xfId="287" xr:uid="{00000000-0005-0000-0000-000020010000}"/>
    <cellStyle name="Пояснение 3" xfId="288" xr:uid="{00000000-0005-0000-0000-000021010000}"/>
    <cellStyle name="Примечание 2" xfId="289" xr:uid="{00000000-0005-0000-0000-000022010000}"/>
    <cellStyle name="Примечание 3" xfId="290" xr:uid="{00000000-0005-0000-0000-000023010000}"/>
    <cellStyle name="Процентный 2" xfId="291" xr:uid="{00000000-0005-0000-0000-000024010000}"/>
    <cellStyle name="Процентный 2 10" xfId="292" xr:uid="{00000000-0005-0000-0000-000025010000}"/>
    <cellStyle name="Процентный 2 11" xfId="293" xr:uid="{00000000-0005-0000-0000-000026010000}"/>
    <cellStyle name="Процентный 2 12" xfId="294" xr:uid="{00000000-0005-0000-0000-000027010000}"/>
    <cellStyle name="Процентный 2 13" xfId="295" xr:uid="{00000000-0005-0000-0000-000028010000}"/>
    <cellStyle name="Процентный 2 14" xfId="296" xr:uid="{00000000-0005-0000-0000-000029010000}"/>
    <cellStyle name="Процентный 2 15" xfId="297" xr:uid="{00000000-0005-0000-0000-00002A010000}"/>
    <cellStyle name="Процентный 2 16" xfId="298" xr:uid="{00000000-0005-0000-0000-00002B010000}"/>
    <cellStyle name="Процентный 2 2" xfId="299" xr:uid="{00000000-0005-0000-0000-00002C010000}"/>
    <cellStyle name="Процентный 2 3" xfId="300" xr:uid="{00000000-0005-0000-0000-00002D010000}"/>
    <cellStyle name="Процентный 2 4" xfId="301" xr:uid="{00000000-0005-0000-0000-00002E010000}"/>
    <cellStyle name="Процентный 2 5" xfId="302" xr:uid="{00000000-0005-0000-0000-00002F010000}"/>
    <cellStyle name="Процентный 2 6" xfId="303" xr:uid="{00000000-0005-0000-0000-000030010000}"/>
    <cellStyle name="Процентный 2 7" xfId="304" xr:uid="{00000000-0005-0000-0000-000031010000}"/>
    <cellStyle name="Процентный 2 8" xfId="305" xr:uid="{00000000-0005-0000-0000-000032010000}"/>
    <cellStyle name="Процентный 2 9" xfId="306" xr:uid="{00000000-0005-0000-0000-000033010000}"/>
    <cellStyle name="Процентный 3" xfId="307" xr:uid="{00000000-0005-0000-0000-000034010000}"/>
    <cellStyle name="Процентный 4" xfId="308" xr:uid="{00000000-0005-0000-0000-000035010000}"/>
    <cellStyle name="Процентный 4 2" xfId="309" xr:uid="{00000000-0005-0000-0000-000036010000}"/>
    <cellStyle name="Связанная ячейка 2" xfId="310" xr:uid="{00000000-0005-0000-0000-000037010000}"/>
    <cellStyle name="Связанная ячейка 3" xfId="311" xr:uid="{00000000-0005-0000-0000-000038010000}"/>
    <cellStyle name="Стиль 1" xfId="312" xr:uid="{00000000-0005-0000-0000-000039010000}"/>
    <cellStyle name="Стиль 1 2" xfId="313" xr:uid="{00000000-0005-0000-0000-00003A010000}"/>
    <cellStyle name="Стиль 1 3" xfId="314" xr:uid="{00000000-0005-0000-0000-00003B010000}"/>
    <cellStyle name="Стиль 1 4" xfId="315" xr:uid="{00000000-0005-0000-0000-00003C010000}"/>
    <cellStyle name="Стиль 1 5" xfId="316" xr:uid="{00000000-0005-0000-0000-00003D010000}"/>
    <cellStyle name="Стиль 1 6" xfId="317" xr:uid="{00000000-0005-0000-0000-00003E010000}"/>
    <cellStyle name="Стиль 1 7" xfId="318" xr:uid="{00000000-0005-0000-0000-00003F010000}"/>
    <cellStyle name="Текст предупреждения 2" xfId="319" xr:uid="{00000000-0005-0000-0000-000040010000}"/>
    <cellStyle name="Текст предупреждения 3" xfId="320" xr:uid="{00000000-0005-0000-0000-000041010000}"/>
    <cellStyle name="Тысячи [0]_1.62" xfId="321" xr:uid="{00000000-0005-0000-0000-000042010000}"/>
    <cellStyle name="Тысячи_1.62" xfId="322" xr:uid="{00000000-0005-0000-0000-000043010000}"/>
    <cellStyle name="Финансовый 2" xfId="323" xr:uid="{00000000-0005-0000-0000-000044010000}"/>
    <cellStyle name="Финансовый 2 10" xfId="324" xr:uid="{00000000-0005-0000-0000-000045010000}"/>
    <cellStyle name="Финансовый 2 11" xfId="325" xr:uid="{00000000-0005-0000-0000-000046010000}"/>
    <cellStyle name="Финансовый 2 12" xfId="326" xr:uid="{00000000-0005-0000-0000-000047010000}"/>
    <cellStyle name="Финансовый 2 13" xfId="327" xr:uid="{00000000-0005-0000-0000-000048010000}"/>
    <cellStyle name="Финансовый 2 14" xfId="328" xr:uid="{00000000-0005-0000-0000-000049010000}"/>
    <cellStyle name="Финансовый 2 15" xfId="329" xr:uid="{00000000-0005-0000-0000-00004A010000}"/>
    <cellStyle name="Финансовый 2 16" xfId="330" xr:uid="{00000000-0005-0000-0000-00004B010000}"/>
    <cellStyle name="Финансовый 2 17" xfId="331" xr:uid="{00000000-0005-0000-0000-00004C010000}"/>
    <cellStyle name="Финансовый 2 2" xfId="332" xr:uid="{00000000-0005-0000-0000-00004D010000}"/>
    <cellStyle name="Финансовый 2 3" xfId="333" xr:uid="{00000000-0005-0000-0000-00004E010000}"/>
    <cellStyle name="Финансовый 2 4" xfId="334" xr:uid="{00000000-0005-0000-0000-00004F010000}"/>
    <cellStyle name="Финансовый 2 5" xfId="335" xr:uid="{00000000-0005-0000-0000-000050010000}"/>
    <cellStyle name="Финансовый 2 6" xfId="336" xr:uid="{00000000-0005-0000-0000-000051010000}"/>
    <cellStyle name="Финансовый 2 7" xfId="337" xr:uid="{00000000-0005-0000-0000-000052010000}"/>
    <cellStyle name="Финансовый 2 8" xfId="338" xr:uid="{00000000-0005-0000-0000-000053010000}"/>
    <cellStyle name="Финансовый 2 9" xfId="339" xr:uid="{00000000-0005-0000-0000-000054010000}"/>
    <cellStyle name="Финансовый 3" xfId="340" xr:uid="{00000000-0005-0000-0000-000055010000}"/>
    <cellStyle name="Финансовый 3 2" xfId="341" xr:uid="{00000000-0005-0000-0000-000056010000}"/>
    <cellStyle name="Финансовый 4" xfId="342" xr:uid="{00000000-0005-0000-0000-000057010000}"/>
    <cellStyle name="Финансовый 4 2" xfId="343" xr:uid="{00000000-0005-0000-0000-000058010000}"/>
    <cellStyle name="Финансовый 4 3" xfId="344" xr:uid="{00000000-0005-0000-0000-000059010000}"/>
    <cellStyle name="Финансовый 5" xfId="345" xr:uid="{00000000-0005-0000-0000-00005A010000}"/>
    <cellStyle name="Финансовый 6" xfId="346" xr:uid="{00000000-0005-0000-0000-00005B010000}"/>
    <cellStyle name="Финансовый 7" xfId="347" xr:uid="{00000000-0005-0000-0000-00005C010000}"/>
    <cellStyle name="Хороший 2" xfId="348" xr:uid="{00000000-0005-0000-0000-00005D010000}"/>
    <cellStyle name="Хороший 3" xfId="349" xr:uid="{00000000-0005-0000-0000-00005E010000}"/>
    <cellStyle name="числовой" xfId="350" xr:uid="{00000000-0005-0000-0000-00005F010000}"/>
    <cellStyle name="Ю" xfId="351" xr:uid="{00000000-0005-0000-0000-000060010000}"/>
    <cellStyle name="Ю-FreeSet_10" xfId="352" xr:uid="{00000000-0005-0000-0000-000061010000}"/>
  </cellStyles>
  <dxfs count="0"/>
  <tableStyles count="0" defaultTableStyle="TableStyleMedium2" defaultPivotStyle="PivotStyleLight16"/>
  <colors>
    <mruColors>
      <color rgb="FFFFFFCC"/>
      <color rgb="FFFF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sharedStrings" Target="sharedStrings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  <sheetName val="Лист2"/>
      <sheetName val="ПЛАН ЗАКУПІВЕЛЬ 2018"/>
      <sheetName val="Аркуш2"/>
      <sheetName val="MPPZ"/>
      <sheetName val="адмін_(2)"/>
      <sheetName val="9m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/>
      <sheetData sheetId="11" refreshError="1"/>
      <sheetData sheetId="12" refreshError="1"/>
      <sheetData sheetId="13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зведена_таб"/>
      <sheetName val="попер_роз_(4)"/>
      <sheetName val="звед_оптим_(2)"/>
      <sheetName val="2002"/>
      <sheetName val="2001"/>
      <sheetName val="Ener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попер_роз"/>
      <sheetName val="база  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  <sheetName val="база  "/>
      <sheetName val="Links"/>
      <sheetName val="Lead"/>
      <sheetName val="МТР_Газ_Україн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МТР_Газ_України"/>
    </sheetNames>
    <sheetDataSet>
      <sheetData sheetId="0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  <sheetName val="Inform"/>
      <sheetName val="7  Інші витрати"/>
      <sheetName val="МТР_Газ_Україн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BGVN1"/>
      <sheetName val="Technical"/>
      <sheetName val="БАЗА  "/>
      <sheetName val="МТР Газ України"/>
      <sheetName val="Daten"/>
      <sheetName val="Detail"/>
      <sheetName val="Annual Tables"/>
      <sheetName val="Index"/>
      <sheetName val="Annual Raw Data"/>
      <sheetName val="Quarterly Raw Data"/>
      <sheetName val="Quarterly 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i"/>
      <sheetName val="Setup"/>
      <sheetName val="200"/>
      <sheetName val="1993"/>
      <sheetName val="Inform"/>
      <sheetName val="Ener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gdp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  <sheetName val="база  "/>
      <sheetName val="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  <sheetName val="Inform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  <sheetName val="попер_роз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  <sheetName val="gdp"/>
      <sheetName val="1993"/>
      <sheetName val="Додаток 3"/>
      <sheetName val="En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Ener "/>
      <sheetName val="Припущення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  <sheetName val="BGVN1"/>
      <sheetName val="д17-1"/>
      <sheetName val="БАЗА__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Правила ДДС"/>
      <sheetName val="7  інші витрати"/>
      <sheetName val="п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f-20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  <sheetName val="7  Інші витрати"/>
      <sheetName val="попер_роз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  <sheetName val="gdp"/>
      <sheetName val="до викупа"/>
      <sheetName val="Лист1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  <sheetName val="7  інші витрати"/>
      <sheetName val="МТР Газ України"/>
      <sheetName val="Note2 to do "/>
      <sheetName val="4сд"/>
      <sheetName val="2сд"/>
      <sheetName val="7сд"/>
      <sheetName val="1993"/>
      <sheetName val="Лист2"/>
      <sheetName val="припущення"/>
      <sheetName val="т17мб(шаблон)"/>
      <sheetName val="реестр_заявок1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  <sheetName val="Inform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  <sheetName val="7  інші витрат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  <sheetName val="7  інші витрати"/>
      <sheetName val="Ener "/>
      <sheetName val="gdp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  <sheetName val="7  інші витрат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  <sheetName val="7  інші витрати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_Структура по елементах"/>
      <sheetName val="Тит стор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A1:O249"/>
  <sheetViews>
    <sheetView tabSelected="1" view="pageBreakPreview" topLeftCell="A46" zoomScale="60" zoomScaleNormal="75" workbookViewId="0">
      <selection activeCell="D60" sqref="D60"/>
    </sheetView>
  </sheetViews>
  <sheetFormatPr defaultRowHeight="20.25"/>
  <cols>
    <col min="1" max="1" width="58.42578125" style="1" customWidth="1"/>
    <col min="2" max="2" width="11.140625" style="65" customWidth="1"/>
    <col min="3" max="3" width="15.140625" style="175" customWidth="1"/>
    <col min="4" max="4" width="17.7109375" style="65" customWidth="1"/>
    <col min="5" max="5" width="16.140625" style="179" customWidth="1"/>
    <col min="6" max="6" width="16" style="1" customWidth="1"/>
    <col min="7" max="7" width="18.140625" style="1" customWidth="1"/>
    <col min="8" max="8" width="17.42578125" style="1" customWidth="1"/>
    <col min="9" max="10" width="16.7109375" style="1" customWidth="1"/>
    <col min="11" max="11" width="20.28515625" style="1" customWidth="1"/>
    <col min="12" max="12" width="19.140625" style="1" customWidth="1"/>
    <col min="13" max="13" width="17.42578125" style="1" customWidth="1"/>
    <col min="14" max="14" width="15.85546875" style="1" customWidth="1"/>
    <col min="15" max="16384" width="9.140625" style="1"/>
  </cols>
  <sheetData>
    <row r="1" spans="1:12" ht="93.75" customHeight="1">
      <c r="A1" s="270" t="s">
        <v>294</v>
      </c>
      <c r="B1" s="271"/>
      <c r="C1" s="271"/>
      <c r="D1" s="271"/>
      <c r="E1" s="271"/>
      <c r="F1" s="271"/>
      <c r="G1" s="271"/>
      <c r="H1" s="271"/>
    </row>
    <row r="2" spans="1:12" ht="24" customHeight="1">
      <c r="A2" s="269" t="s">
        <v>15</v>
      </c>
      <c r="B2" s="269"/>
      <c r="C2" s="269"/>
      <c r="D2" s="269"/>
      <c r="E2" s="269"/>
      <c r="F2" s="269"/>
      <c r="G2" s="269"/>
      <c r="H2" s="269"/>
    </row>
    <row r="3" spans="1:12" s="107" customFormat="1" ht="16.5" customHeight="1">
      <c r="A3" s="69"/>
      <c r="B3" s="70"/>
      <c r="C3" s="202"/>
      <c r="D3" s="70"/>
      <c r="E3" s="70"/>
      <c r="F3" s="70"/>
      <c r="G3" s="70"/>
      <c r="H3" s="71" t="s">
        <v>51</v>
      </c>
    </row>
    <row r="4" spans="1:12" ht="60.75" customHeight="1">
      <c r="A4" s="276" t="s">
        <v>20</v>
      </c>
      <c r="B4" s="277" t="s">
        <v>4</v>
      </c>
      <c r="C4" s="277" t="s">
        <v>102</v>
      </c>
      <c r="D4" s="277"/>
      <c r="E4" s="276" t="s">
        <v>296</v>
      </c>
      <c r="F4" s="276"/>
      <c r="G4" s="276"/>
      <c r="H4" s="276"/>
    </row>
    <row r="5" spans="1:12" ht="46.5" customHeight="1">
      <c r="A5" s="276"/>
      <c r="B5" s="277"/>
      <c r="C5" s="9" t="s">
        <v>246</v>
      </c>
      <c r="D5" s="9" t="s">
        <v>295</v>
      </c>
      <c r="E5" s="72" t="s">
        <v>152</v>
      </c>
      <c r="F5" s="72" t="s">
        <v>91</v>
      </c>
      <c r="G5" s="72" t="s">
        <v>92</v>
      </c>
      <c r="H5" s="72" t="s">
        <v>93</v>
      </c>
    </row>
    <row r="6" spans="1:12" s="107" customFormat="1" ht="21" customHeight="1">
      <c r="A6" s="67">
        <v>1</v>
      </c>
      <c r="B6" s="17">
        <v>2</v>
      </c>
      <c r="C6" s="17">
        <v>3</v>
      </c>
      <c r="D6" s="17">
        <v>4</v>
      </c>
      <c r="E6" s="17">
        <v>5</v>
      </c>
      <c r="F6" s="17">
        <v>6</v>
      </c>
      <c r="G6" s="17">
        <v>7</v>
      </c>
      <c r="H6" s="17">
        <v>8</v>
      </c>
    </row>
    <row r="7" spans="1:12" ht="23.25" customHeight="1">
      <c r="A7" s="278" t="s">
        <v>80</v>
      </c>
      <c r="B7" s="278"/>
      <c r="C7" s="278"/>
      <c r="D7" s="278"/>
      <c r="E7" s="278"/>
      <c r="F7" s="278"/>
      <c r="G7" s="278"/>
      <c r="H7" s="278"/>
    </row>
    <row r="8" spans="1:12" ht="42" customHeight="1">
      <c r="A8" s="73" t="s">
        <v>217</v>
      </c>
      <c r="B8" s="74">
        <v>1000</v>
      </c>
      <c r="C8" s="49">
        <v>74991.900000000009</v>
      </c>
      <c r="D8" s="49">
        <v>84836.6</v>
      </c>
      <c r="E8" s="203">
        <v>80682.7</v>
      </c>
      <c r="F8" s="49">
        <v>84836.6</v>
      </c>
      <c r="G8" s="75">
        <f>F8-E8</f>
        <v>4153.9000000000087</v>
      </c>
      <c r="H8" s="75">
        <f>(F8/E8)*100</f>
        <v>105.14843950437951</v>
      </c>
      <c r="K8" s="34"/>
    </row>
    <row r="9" spans="1:12" ht="63.75" customHeight="1">
      <c r="A9" s="73" t="s">
        <v>60</v>
      </c>
      <c r="B9" s="74">
        <v>1010</v>
      </c>
      <c r="C9" s="75">
        <f t="shared" ref="C9" si="0">SUM(C10:C14)</f>
        <v>-75491.3</v>
      </c>
      <c r="D9" s="75">
        <f>SUM(D10:D14)</f>
        <v>-87475</v>
      </c>
      <c r="E9" s="49">
        <f>SUM(E10:E14)</f>
        <v>-86277.4</v>
      </c>
      <c r="F9" s="75">
        <f>SUM(F10:F14)</f>
        <v>-87475</v>
      </c>
      <c r="G9" s="75">
        <f t="shared" ref="G9:G43" si="1">F9-E9</f>
        <v>-1197.6000000000058</v>
      </c>
      <c r="H9" s="75">
        <f t="shared" ref="H9:H43" si="2">(F9/E9)*100</f>
        <v>101.38808077202141</v>
      </c>
      <c r="K9" s="60"/>
    </row>
    <row r="10" spans="1:12" ht="24.75" customHeight="1">
      <c r="A10" s="76" t="s">
        <v>61</v>
      </c>
      <c r="B10" s="234">
        <v>1011</v>
      </c>
      <c r="C10" s="22">
        <v>-24673.7</v>
      </c>
      <c r="D10" s="22">
        <v>-31973.4</v>
      </c>
      <c r="E10" s="22">
        <v>-31259.199999999997</v>
      </c>
      <c r="F10" s="22">
        <v>-31973.4</v>
      </c>
      <c r="G10" s="23">
        <f t="shared" si="1"/>
        <v>-714.20000000000437</v>
      </c>
      <c r="H10" s="23">
        <f t="shared" si="2"/>
        <v>102.28476736448791</v>
      </c>
    </row>
    <row r="11" spans="1:12" ht="25.5" customHeight="1">
      <c r="A11" s="76" t="s">
        <v>1</v>
      </c>
      <c r="B11" s="234">
        <v>1012</v>
      </c>
      <c r="C11" s="22">
        <v>-35468.199999999997</v>
      </c>
      <c r="D11" s="22">
        <v>-38156.9</v>
      </c>
      <c r="E11" s="22">
        <v>-38662.9</v>
      </c>
      <c r="F11" s="22">
        <v>-38156.9</v>
      </c>
      <c r="G11" s="23">
        <f t="shared" si="1"/>
        <v>506</v>
      </c>
      <c r="H11" s="23">
        <f t="shared" si="2"/>
        <v>98.691251820220415</v>
      </c>
      <c r="K11" s="60"/>
    </row>
    <row r="12" spans="1:12" ht="25.5" customHeight="1">
      <c r="A12" s="76" t="s">
        <v>2</v>
      </c>
      <c r="B12" s="234">
        <v>1013</v>
      </c>
      <c r="C12" s="22">
        <v>-7690.6</v>
      </c>
      <c r="D12" s="22">
        <v>-8279.7999999999993</v>
      </c>
      <c r="E12" s="22">
        <v>-8417.9</v>
      </c>
      <c r="F12" s="22">
        <v>-8279.7999999999993</v>
      </c>
      <c r="G12" s="23">
        <f t="shared" si="1"/>
        <v>138.10000000000036</v>
      </c>
      <c r="H12" s="23">
        <f t="shared" si="2"/>
        <v>98.359448318464217</v>
      </c>
      <c r="I12" s="60"/>
      <c r="J12" s="60"/>
    </row>
    <row r="13" spans="1:12" ht="24" customHeight="1">
      <c r="A13" s="76" t="s">
        <v>3</v>
      </c>
      <c r="B13" s="234">
        <v>1014</v>
      </c>
      <c r="C13" s="22">
        <v>-6986</v>
      </c>
      <c r="D13" s="22">
        <v>-7958.4</v>
      </c>
      <c r="E13" s="22">
        <v>-6900</v>
      </c>
      <c r="F13" s="22">
        <v>-7958.4</v>
      </c>
      <c r="G13" s="23">
        <f t="shared" si="1"/>
        <v>-1058.3999999999996</v>
      </c>
      <c r="H13" s="23">
        <f t="shared" si="2"/>
        <v>115.33913043478262</v>
      </c>
      <c r="I13" s="92"/>
      <c r="J13" s="92"/>
      <c r="K13" s="92"/>
      <c r="L13" s="92"/>
    </row>
    <row r="14" spans="1:12" ht="24" customHeight="1">
      <c r="A14" s="76" t="s">
        <v>44</v>
      </c>
      <c r="B14" s="234">
        <v>1015</v>
      </c>
      <c r="C14" s="22">
        <v>-672.8</v>
      </c>
      <c r="D14" s="22">
        <v>-1106.5</v>
      </c>
      <c r="E14" s="22">
        <v>-1037.4000000000001</v>
      </c>
      <c r="F14" s="22">
        <v>-1106.5</v>
      </c>
      <c r="G14" s="23">
        <f t="shared" si="1"/>
        <v>-69.099999999999909</v>
      </c>
      <c r="H14" s="23">
        <f t="shared" si="2"/>
        <v>106.66088297667244</v>
      </c>
      <c r="I14" s="60"/>
      <c r="J14" s="60"/>
    </row>
    <row r="15" spans="1:12" ht="28.5" customHeight="1">
      <c r="A15" s="73" t="s">
        <v>22</v>
      </c>
      <c r="B15" s="234">
        <v>1020</v>
      </c>
      <c r="C15" s="75">
        <f t="shared" ref="C15" si="3">SUM(C8:C9)</f>
        <v>-499.39999999999418</v>
      </c>
      <c r="D15" s="75">
        <f t="shared" ref="D15:F15" si="4">SUM(D8:D9)</f>
        <v>-2638.3999999999942</v>
      </c>
      <c r="E15" s="49">
        <f>SUM(E8:E9)</f>
        <v>-5594.6999999999971</v>
      </c>
      <c r="F15" s="75">
        <f t="shared" si="4"/>
        <v>-2638.3999999999942</v>
      </c>
      <c r="G15" s="75">
        <f t="shared" si="1"/>
        <v>2956.3000000000029</v>
      </c>
      <c r="H15" s="75">
        <f t="shared" si="2"/>
        <v>47.158918261926388</v>
      </c>
    </row>
    <row r="16" spans="1:12" ht="43.5" customHeight="1">
      <c r="A16" s="73" t="s">
        <v>75</v>
      </c>
      <c r="B16" s="74">
        <v>1020</v>
      </c>
      <c r="C16" s="75">
        <f t="shared" ref="C16" si="5">SUM(C17:C21)</f>
        <v>-3578.3</v>
      </c>
      <c r="D16" s="75">
        <f t="shared" ref="D16:F16" si="6">SUM(D17:D21)</f>
        <v>-3709.7000000000003</v>
      </c>
      <c r="E16" s="49">
        <f>SUM(E17:E21)</f>
        <v>-4402.1000000000004</v>
      </c>
      <c r="F16" s="75">
        <f t="shared" si="6"/>
        <v>-3709.7000000000003</v>
      </c>
      <c r="G16" s="75">
        <f t="shared" si="1"/>
        <v>692.40000000000009</v>
      </c>
      <c r="H16" s="75">
        <f t="shared" si="2"/>
        <v>84.271143317961887</v>
      </c>
    </row>
    <row r="17" spans="1:13" ht="27" customHeight="1">
      <c r="A17" s="76" t="s">
        <v>61</v>
      </c>
      <c r="B17" s="234">
        <v>1021</v>
      </c>
      <c r="C17" s="22">
        <v>-85</v>
      </c>
      <c r="D17" s="22">
        <v>-42.1</v>
      </c>
      <c r="E17" s="22">
        <v>-55</v>
      </c>
      <c r="F17" s="22">
        <v>-42.1</v>
      </c>
      <c r="G17" s="23">
        <f t="shared" si="1"/>
        <v>12.899999999999999</v>
      </c>
      <c r="H17" s="23">
        <f t="shared" si="2"/>
        <v>76.545454545454547</v>
      </c>
      <c r="I17" s="60"/>
      <c r="J17" s="60"/>
    </row>
    <row r="18" spans="1:13" ht="27.75" customHeight="1">
      <c r="A18" s="76" t="s">
        <v>1</v>
      </c>
      <c r="B18" s="234">
        <v>1022</v>
      </c>
      <c r="C18" s="22">
        <v>-2790</v>
      </c>
      <c r="D18" s="22">
        <v>-2879.9</v>
      </c>
      <c r="E18" s="22">
        <v>-3400</v>
      </c>
      <c r="F18" s="22">
        <v>-2879.9</v>
      </c>
      <c r="G18" s="23">
        <f t="shared" si="1"/>
        <v>520.09999999999991</v>
      </c>
      <c r="H18" s="23">
        <f t="shared" si="2"/>
        <v>84.702941176470588</v>
      </c>
      <c r="I18" s="60"/>
      <c r="J18" s="60"/>
    </row>
    <row r="19" spans="1:13" ht="25.5" customHeight="1">
      <c r="A19" s="76" t="s">
        <v>2</v>
      </c>
      <c r="B19" s="234">
        <v>1023</v>
      </c>
      <c r="C19" s="22">
        <v>-537.79999999999995</v>
      </c>
      <c r="D19" s="22">
        <v>-552.79999999999995</v>
      </c>
      <c r="E19" s="22">
        <v>-680</v>
      </c>
      <c r="F19" s="22">
        <v>-552.79999999999995</v>
      </c>
      <c r="G19" s="23">
        <f t="shared" si="1"/>
        <v>127.20000000000005</v>
      </c>
      <c r="H19" s="23">
        <f t="shared" si="2"/>
        <v>81.294117647058812</v>
      </c>
      <c r="I19" s="60"/>
      <c r="J19" s="60"/>
    </row>
    <row r="20" spans="1:13" ht="24.75" customHeight="1">
      <c r="A20" s="76" t="s">
        <v>3</v>
      </c>
      <c r="B20" s="234">
        <v>1024</v>
      </c>
      <c r="C20" s="22"/>
      <c r="D20" s="22"/>
      <c r="E20" s="22" t="s">
        <v>267</v>
      </c>
      <c r="F20" s="22"/>
      <c r="G20" s="94" t="e">
        <f t="shared" si="1"/>
        <v>#VALUE!</v>
      </c>
      <c r="H20" s="23"/>
      <c r="I20" s="35"/>
      <c r="J20" s="35"/>
      <c r="K20" s="35"/>
      <c r="L20" s="35"/>
    </row>
    <row r="21" spans="1:13" ht="38.25" customHeight="1">
      <c r="A21" s="76" t="s">
        <v>62</v>
      </c>
      <c r="B21" s="234">
        <v>1025</v>
      </c>
      <c r="C21" s="22">
        <v>-165.5</v>
      </c>
      <c r="D21" s="22">
        <v>-234.9</v>
      </c>
      <c r="E21" s="22">
        <v>-267.10000000000002</v>
      </c>
      <c r="F21" s="22">
        <v>-234.9</v>
      </c>
      <c r="G21" s="23">
        <f t="shared" si="1"/>
        <v>32.200000000000017</v>
      </c>
      <c r="H21" s="23">
        <f t="shared" si="2"/>
        <v>87.944590041183062</v>
      </c>
      <c r="I21" s="35"/>
      <c r="J21" s="35"/>
      <c r="K21" s="35"/>
      <c r="L21" s="35"/>
    </row>
    <row r="22" spans="1:13" ht="38.25" customHeight="1">
      <c r="A22" s="73" t="s">
        <v>31</v>
      </c>
      <c r="B22" s="74">
        <v>1040</v>
      </c>
      <c r="C22" s="75">
        <f>SUM(C23:C24)</f>
        <v>11747.3</v>
      </c>
      <c r="D22" s="75">
        <f>SUM(D23:D24)</f>
        <v>10561.7</v>
      </c>
      <c r="E22" s="49">
        <f>E23+E24</f>
        <v>5401.3</v>
      </c>
      <c r="F22" s="75">
        <f>SUM(F23:F24)</f>
        <v>10561.7</v>
      </c>
      <c r="G22" s="75">
        <f t="shared" si="1"/>
        <v>5160.4000000000005</v>
      </c>
      <c r="H22" s="75">
        <f t="shared" si="2"/>
        <v>195.53996260159593</v>
      </c>
      <c r="I22" s="58"/>
      <c r="J22" s="58"/>
      <c r="K22" s="58"/>
      <c r="L22" s="58"/>
      <c r="M22" s="58"/>
    </row>
    <row r="23" spans="1:13" ht="33" customHeight="1">
      <c r="A23" s="76" t="s">
        <v>32</v>
      </c>
      <c r="B23" s="234">
        <v>1041</v>
      </c>
      <c r="C23" s="23"/>
      <c r="D23" s="23"/>
      <c r="E23" s="22"/>
      <c r="F23" s="23"/>
      <c r="G23" s="23">
        <f t="shared" si="1"/>
        <v>0</v>
      </c>
      <c r="H23" s="77"/>
      <c r="I23" s="35"/>
      <c r="J23" s="35"/>
      <c r="K23" s="35"/>
      <c r="L23" s="35"/>
    </row>
    <row r="24" spans="1:13" ht="30" customHeight="1">
      <c r="A24" s="76" t="s">
        <v>33</v>
      </c>
      <c r="B24" s="234">
        <v>1042</v>
      </c>
      <c r="C24" s="22">
        <v>11747.3</v>
      </c>
      <c r="D24" s="22">
        <v>10561.7</v>
      </c>
      <c r="E24" s="204">
        <v>5401.3</v>
      </c>
      <c r="F24" s="22">
        <v>10561.7</v>
      </c>
      <c r="G24" s="23">
        <f t="shared" si="1"/>
        <v>5160.4000000000005</v>
      </c>
      <c r="H24" s="23">
        <f t="shared" si="2"/>
        <v>195.53996260159593</v>
      </c>
    </row>
    <row r="25" spans="1:13" ht="42.75" customHeight="1">
      <c r="A25" s="73" t="s">
        <v>10</v>
      </c>
      <c r="B25" s="74">
        <v>1030</v>
      </c>
      <c r="C25" s="75">
        <f t="shared" ref="C25" si="7">SUM(C26:C30)</f>
        <v>-2101.7999999999997</v>
      </c>
      <c r="D25" s="75">
        <f t="shared" ref="D25:F25" si="8">SUM(D26:D30)</f>
        <v>-2536.8000000000002</v>
      </c>
      <c r="E25" s="49">
        <f t="shared" ref="E25" si="9">SUM(E26:E30)</f>
        <v>-2995</v>
      </c>
      <c r="F25" s="75">
        <f t="shared" si="8"/>
        <v>-2536.8000000000002</v>
      </c>
      <c r="G25" s="75">
        <f t="shared" si="1"/>
        <v>458.19999999999982</v>
      </c>
      <c r="H25" s="75">
        <f t="shared" si="2"/>
        <v>84.701168614357272</v>
      </c>
    </row>
    <row r="26" spans="1:13" ht="21.95" customHeight="1">
      <c r="A26" s="76" t="s">
        <v>61</v>
      </c>
      <c r="B26" s="234">
        <v>1031</v>
      </c>
      <c r="C26" s="23"/>
      <c r="D26" s="23"/>
      <c r="E26" s="22" t="s">
        <v>267</v>
      </c>
      <c r="F26" s="23"/>
      <c r="G26" s="95" t="e">
        <f t="shared" si="1"/>
        <v>#VALUE!</v>
      </c>
      <c r="H26" s="75"/>
    </row>
    <row r="27" spans="1:13" ht="21.95" customHeight="1">
      <c r="A27" s="76" t="s">
        <v>1</v>
      </c>
      <c r="B27" s="234">
        <v>1032</v>
      </c>
      <c r="C27" s="22">
        <v>-1218.3</v>
      </c>
      <c r="D27" s="22">
        <v>-1239</v>
      </c>
      <c r="E27" s="22">
        <v>-1650</v>
      </c>
      <c r="F27" s="22">
        <v>-1239</v>
      </c>
      <c r="G27" s="23">
        <f t="shared" si="1"/>
        <v>411</v>
      </c>
      <c r="H27" s="23">
        <f t="shared" si="2"/>
        <v>75.090909090909079</v>
      </c>
    </row>
    <row r="28" spans="1:13" ht="21.95" customHeight="1">
      <c r="A28" s="76" t="s">
        <v>2</v>
      </c>
      <c r="B28" s="234">
        <v>1033</v>
      </c>
      <c r="C28" s="22">
        <v>-238.8</v>
      </c>
      <c r="D28" s="22">
        <v>-235.7</v>
      </c>
      <c r="E28" s="22">
        <v>-330</v>
      </c>
      <c r="F28" s="22">
        <v>-235.7</v>
      </c>
      <c r="G28" s="23">
        <f t="shared" si="1"/>
        <v>94.300000000000011</v>
      </c>
      <c r="H28" s="23">
        <f t="shared" si="2"/>
        <v>71.424242424242422</v>
      </c>
    </row>
    <row r="29" spans="1:13" ht="21.95" customHeight="1">
      <c r="A29" s="76" t="s">
        <v>3</v>
      </c>
      <c r="B29" s="234">
        <v>1034</v>
      </c>
      <c r="C29" s="22">
        <v>-443.8</v>
      </c>
      <c r="D29" s="22">
        <v>-944.6</v>
      </c>
      <c r="E29" s="22">
        <v>-850</v>
      </c>
      <c r="F29" s="22">
        <v>-944.6</v>
      </c>
      <c r="G29" s="23">
        <f t="shared" si="1"/>
        <v>-94.600000000000023</v>
      </c>
      <c r="H29" s="77"/>
    </row>
    <row r="30" spans="1:13" ht="21.95" customHeight="1">
      <c r="A30" s="76" t="s">
        <v>63</v>
      </c>
      <c r="B30" s="234">
        <v>1035</v>
      </c>
      <c r="C30" s="22">
        <v>-200.9</v>
      </c>
      <c r="D30" s="22">
        <v>-117.5</v>
      </c>
      <c r="E30" s="22">
        <v>-165</v>
      </c>
      <c r="F30" s="22">
        <v>-117.5</v>
      </c>
      <c r="G30" s="23">
        <f t="shared" si="1"/>
        <v>47.5</v>
      </c>
      <c r="H30" s="23">
        <f t="shared" si="2"/>
        <v>71.212121212121218</v>
      </c>
    </row>
    <row r="31" spans="1:13" ht="41.25" customHeight="1">
      <c r="A31" s="73" t="s">
        <v>0</v>
      </c>
      <c r="B31" s="234">
        <v>1100</v>
      </c>
      <c r="C31" s="75">
        <f t="shared" ref="C31" si="10">SUM(C15,C16,C22,C25)</f>
        <v>5567.8000000000047</v>
      </c>
      <c r="D31" s="75">
        <f t="shared" ref="D31:E31" si="11">SUM(D15,D16,D22,D25)</f>
        <v>1676.8000000000056</v>
      </c>
      <c r="E31" s="49">
        <f t="shared" si="11"/>
        <v>-7590.4999999999973</v>
      </c>
      <c r="F31" s="75">
        <f t="shared" ref="F31" si="12">SUM(F15,F16,F22,F25)</f>
        <v>1676.8000000000056</v>
      </c>
      <c r="G31" s="75">
        <f t="shared" si="1"/>
        <v>9267.3000000000029</v>
      </c>
      <c r="H31" s="75">
        <f t="shared" si="2"/>
        <v>-22.090771358935594</v>
      </c>
    </row>
    <row r="32" spans="1:13" ht="21.95" customHeight="1">
      <c r="A32" s="73" t="s">
        <v>218</v>
      </c>
      <c r="B32" s="74">
        <v>1130</v>
      </c>
      <c r="C32" s="75">
        <v>987.7</v>
      </c>
      <c r="D32" s="75">
        <v>534.6</v>
      </c>
      <c r="E32" s="205">
        <v>240.5</v>
      </c>
      <c r="F32" s="75">
        <v>534.6</v>
      </c>
      <c r="G32" s="75">
        <f t="shared" si="1"/>
        <v>294.10000000000002</v>
      </c>
      <c r="H32" s="68">
        <f t="shared" si="2"/>
        <v>222.28690228690229</v>
      </c>
      <c r="I32" s="59"/>
      <c r="J32" s="59"/>
      <c r="K32" s="58"/>
      <c r="L32" s="58"/>
      <c r="M32" s="58"/>
    </row>
    <row r="33" spans="1:15" ht="21.95" customHeight="1">
      <c r="A33" s="78" t="s">
        <v>219</v>
      </c>
      <c r="B33" s="74">
        <v>1140</v>
      </c>
      <c r="C33" s="23"/>
      <c r="D33" s="23"/>
      <c r="E33" s="22" t="s">
        <v>267</v>
      </c>
      <c r="F33" s="23"/>
      <c r="G33" s="95" t="e">
        <f t="shared" si="1"/>
        <v>#VALUE!</v>
      </c>
      <c r="H33" s="77"/>
      <c r="K33" s="58"/>
      <c r="L33" s="58"/>
      <c r="M33" s="58"/>
    </row>
    <row r="34" spans="1:15" ht="21.95" customHeight="1">
      <c r="A34" s="73" t="s">
        <v>220</v>
      </c>
      <c r="B34" s="74">
        <v>1150</v>
      </c>
      <c r="C34" s="49">
        <v>6821.4</v>
      </c>
      <c r="D34" s="49">
        <v>8141.6</v>
      </c>
      <c r="E34" s="205">
        <v>7350</v>
      </c>
      <c r="F34" s="49">
        <v>8141.6</v>
      </c>
      <c r="G34" s="75">
        <f t="shared" si="1"/>
        <v>791.60000000000036</v>
      </c>
      <c r="H34" s="79">
        <f>(F34/E34)*100</f>
        <v>110.7700680272109</v>
      </c>
      <c r="I34" s="58"/>
      <c r="J34" s="58"/>
      <c r="K34" s="58"/>
      <c r="L34" s="58"/>
      <c r="M34" s="58"/>
    </row>
    <row r="35" spans="1:15" ht="21.95" customHeight="1">
      <c r="A35" s="73" t="s">
        <v>221</v>
      </c>
      <c r="B35" s="74">
        <v>1160</v>
      </c>
      <c r="C35" s="23"/>
      <c r="D35" s="23"/>
      <c r="E35" s="22" t="s">
        <v>267</v>
      </c>
      <c r="F35" s="23"/>
      <c r="G35" s="95" t="e">
        <f t="shared" si="1"/>
        <v>#VALUE!</v>
      </c>
      <c r="H35" s="77"/>
      <c r="K35" s="58"/>
      <c r="L35" s="58"/>
      <c r="M35" s="58"/>
    </row>
    <row r="36" spans="1:15" ht="43.5" customHeight="1">
      <c r="A36" s="73" t="s">
        <v>12</v>
      </c>
      <c r="B36" s="74">
        <v>1170</v>
      </c>
      <c r="C36" s="75">
        <f>SUM(C31, C32:C35)</f>
        <v>13376.900000000005</v>
      </c>
      <c r="D36" s="75">
        <f>SUM(D31, D32:D35)</f>
        <v>10353.000000000005</v>
      </c>
      <c r="E36" s="49">
        <f>SUM(E31, E32:E35)</f>
        <v>0</v>
      </c>
      <c r="F36" s="75">
        <f>SUM(F31, F32:F35)</f>
        <v>10353.000000000005</v>
      </c>
      <c r="G36" s="75">
        <f t="shared" si="1"/>
        <v>10353.000000000005</v>
      </c>
      <c r="H36" s="77"/>
      <c r="K36" s="58"/>
    </row>
    <row r="37" spans="1:15" ht="24.75" customHeight="1">
      <c r="A37" s="78" t="s">
        <v>24</v>
      </c>
      <c r="B37" s="234">
        <v>1180</v>
      </c>
      <c r="C37" s="23"/>
      <c r="D37" s="23"/>
      <c r="E37" s="22" t="s">
        <v>267</v>
      </c>
      <c r="F37" s="23"/>
      <c r="G37" s="95" t="e">
        <f t="shared" si="1"/>
        <v>#VALUE!</v>
      </c>
      <c r="H37" s="77"/>
    </row>
    <row r="38" spans="1:15" ht="29.25" customHeight="1">
      <c r="A38" s="78" t="s">
        <v>25</v>
      </c>
      <c r="B38" s="234">
        <v>1181</v>
      </c>
      <c r="C38" s="23"/>
      <c r="D38" s="23"/>
      <c r="E38" s="22"/>
      <c r="F38" s="23"/>
      <c r="G38" s="75">
        <f t="shared" si="1"/>
        <v>0</v>
      </c>
      <c r="H38" s="77"/>
    </row>
    <row r="39" spans="1:15" ht="21.95" customHeight="1">
      <c r="A39" s="73" t="s">
        <v>40</v>
      </c>
      <c r="B39" s="234">
        <v>1200</v>
      </c>
      <c r="C39" s="75">
        <f>SUM(C36:C38)</f>
        <v>13376.900000000005</v>
      </c>
      <c r="D39" s="75">
        <f>SUM(D36:D38)</f>
        <v>10353.000000000005</v>
      </c>
      <c r="E39" s="49">
        <f>SUM(E36:E38)</f>
        <v>0</v>
      </c>
      <c r="F39" s="75">
        <f>SUM(F36:F38)</f>
        <v>10353.000000000005</v>
      </c>
      <c r="G39" s="75">
        <f t="shared" si="1"/>
        <v>10353.000000000005</v>
      </c>
      <c r="H39" s="80"/>
    </row>
    <row r="40" spans="1:15" ht="21.95" customHeight="1">
      <c r="A40" s="78" t="s">
        <v>41</v>
      </c>
      <c r="B40" s="234">
        <v>1201</v>
      </c>
      <c r="C40" s="23">
        <f>C42+C43</f>
        <v>13376.899999999994</v>
      </c>
      <c r="D40" s="23">
        <f>D42+D43</f>
        <v>10353.000000000015</v>
      </c>
      <c r="E40" s="22">
        <f t="shared" ref="E40" si="13">E42+E43</f>
        <v>0</v>
      </c>
      <c r="F40" s="23">
        <f>F42+F43</f>
        <v>10353.000000000015</v>
      </c>
      <c r="G40" s="23">
        <f t="shared" si="1"/>
        <v>10353.000000000015</v>
      </c>
      <c r="H40" s="77"/>
    </row>
    <row r="41" spans="1:15" ht="21.95" customHeight="1">
      <c r="A41" s="78" t="s">
        <v>42</v>
      </c>
      <c r="B41" s="234">
        <v>1202</v>
      </c>
      <c r="C41" s="23"/>
      <c r="D41" s="23"/>
      <c r="E41" s="22" t="s">
        <v>267</v>
      </c>
      <c r="F41" s="23"/>
      <c r="G41" s="95" t="e">
        <f t="shared" si="1"/>
        <v>#VALUE!</v>
      </c>
      <c r="H41" s="77"/>
    </row>
    <row r="42" spans="1:15" ht="21.95" customHeight="1">
      <c r="A42" s="73" t="s">
        <v>97</v>
      </c>
      <c r="B42" s="74">
        <v>1210</v>
      </c>
      <c r="C42" s="75">
        <f t="shared" ref="C42" si="14">SUM(C8,C22,C32,C34,C38)</f>
        <v>94548.3</v>
      </c>
      <c r="D42" s="75">
        <f t="shared" ref="D42" si="15">SUM(D8,D22,D32,D34,D38)</f>
        <v>104074.50000000001</v>
      </c>
      <c r="E42" s="49">
        <f>SUM(E8,E22,E32,E34,E38)</f>
        <v>93674.5</v>
      </c>
      <c r="F42" s="75">
        <f t="shared" ref="F42" si="16">SUM(F8,F22,F32,F34,F38)</f>
        <v>104074.50000000001</v>
      </c>
      <c r="G42" s="75">
        <f t="shared" si="1"/>
        <v>10400.000000000015</v>
      </c>
      <c r="H42" s="79">
        <f t="shared" si="2"/>
        <v>111.10227436495525</v>
      </c>
    </row>
    <row r="43" spans="1:15" ht="21.95" customHeight="1">
      <c r="A43" s="73" t="s">
        <v>98</v>
      </c>
      <c r="B43" s="74">
        <v>1220</v>
      </c>
      <c r="C43" s="75">
        <f t="shared" ref="C43" si="17">SUM(C9,C16,C25,C33,C35,C37)</f>
        <v>-81171.400000000009</v>
      </c>
      <c r="D43" s="75">
        <f t="shared" ref="D43" si="18">SUM(D9,D16,D25,D33,D35,D37)</f>
        <v>-93721.5</v>
      </c>
      <c r="E43" s="49">
        <f>SUM(E9,E16,E25,E33,E35,E37)</f>
        <v>-93674.5</v>
      </c>
      <c r="F43" s="75">
        <f t="shared" ref="F43" si="19">SUM(F9,F16,F25,F33,F35,F37)</f>
        <v>-93721.5</v>
      </c>
      <c r="G43" s="75">
        <f t="shared" si="1"/>
        <v>-47</v>
      </c>
      <c r="H43" s="79">
        <f t="shared" si="2"/>
        <v>100.05017373991856</v>
      </c>
      <c r="I43" s="34"/>
      <c r="J43" s="34"/>
      <c r="K43" s="34"/>
      <c r="L43" s="34"/>
      <c r="M43" s="34"/>
      <c r="N43" s="34"/>
      <c r="O43" s="34"/>
    </row>
    <row r="44" spans="1:15" ht="21.95" customHeight="1">
      <c r="A44" s="279" t="s">
        <v>103</v>
      </c>
      <c r="B44" s="279"/>
      <c r="C44" s="279"/>
      <c r="D44" s="279"/>
      <c r="E44" s="279"/>
      <c r="F44" s="279"/>
      <c r="G44" s="279"/>
      <c r="H44" s="279"/>
      <c r="K44" s="60"/>
    </row>
    <row r="45" spans="1:15" ht="25.5" customHeight="1">
      <c r="A45" s="76" t="s">
        <v>50</v>
      </c>
      <c r="B45" s="235">
        <v>9000</v>
      </c>
      <c r="C45" s="23">
        <f>-C10-C17</f>
        <v>24758.7</v>
      </c>
      <c r="D45" s="23">
        <f>-D10-D17</f>
        <v>32015.5</v>
      </c>
      <c r="E45" s="23">
        <f>-E10-E17</f>
        <v>31314.199999999997</v>
      </c>
      <c r="F45" s="23">
        <f>-F10-F17</f>
        <v>32015.5</v>
      </c>
      <c r="G45" s="23">
        <f t="shared" ref="G45:G50" si="20">F45-E45</f>
        <v>701.30000000000291</v>
      </c>
      <c r="H45" s="23">
        <f t="shared" ref="H45:H50" si="21">(F45/E45)*100</f>
        <v>102.23955904988793</v>
      </c>
      <c r="I45" s="35"/>
      <c r="J45" s="35"/>
      <c r="K45" s="35"/>
      <c r="L45" s="35"/>
      <c r="M45" s="35"/>
    </row>
    <row r="46" spans="1:15" ht="27" customHeight="1">
      <c r="A46" s="76" t="s">
        <v>1</v>
      </c>
      <c r="B46" s="235">
        <v>9010</v>
      </c>
      <c r="C46" s="23">
        <f>-C11-C18-C27</f>
        <v>39476.5</v>
      </c>
      <c r="D46" s="23">
        <f t="shared" ref="C46:F47" si="22">-D11-D18-D27</f>
        <v>42275.8</v>
      </c>
      <c r="E46" s="23">
        <f t="shared" si="22"/>
        <v>43712.9</v>
      </c>
      <c r="F46" s="23">
        <f t="shared" si="22"/>
        <v>42275.8</v>
      </c>
      <c r="G46" s="23">
        <f t="shared" si="20"/>
        <v>-1437.0999999999985</v>
      </c>
      <c r="H46" s="23">
        <f t="shared" si="21"/>
        <v>96.712412125482416</v>
      </c>
      <c r="I46" s="35"/>
      <c r="J46" s="35"/>
      <c r="K46" s="35"/>
      <c r="L46" s="35"/>
      <c r="M46" s="35"/>
    </row>
    <row r="47" spans="1:15" ht="24" customHeight="1">
      <c r="A47" s="76" t="s">
        <v>2</v>
      </c>
      <c r="B47" s="235">
        <v>9020</v>
      </c>
      <c r="C47" s="23">
        <f t="shared" si="22"/>
        <v>8467.1999999999989</v>
      </c>
      <c r="D47" s="23">
        <f t="shared" si="22"/>
        <v>9068.2999999999993</v>
      </c>
      <c r="E47" s="23">
        <f t="shared" si="22"/>
        <v>9427.9</v>
      </c>
      <c r="F47" s="23">
        <f t="shared" si="22"/>
        <v>9068.2999999999993</v>
      </c>
      <c r="G47" s="23">
        <f t="shared" si="20"/>
        <v>-359.60000000000036</v>
      </c>
      <c r="H47" s="23">
        <f t="shared" si="21"/>
        <v>96.185788988003679</v>
      </c>
      <c r="I47" s="35"/>
      <c r="J47" s="35"/>
      <c r="K47" s="35"/>
      <c r="L47" s="35"/>
      <c r="M47" s="35"/>
    </row>
    <row r="48" spans="1:15" ht="24.75" customHeight="1">
      <c r="A48" s="76" t="s">
        <v>3</v>
      </c>
      <c r="B48" s="235">
        <v>9030</v>
      </c>
      <c r="C48" s="23">
        <f>-C13-C29</f>
        <v>7429.8</v>
      </c>
      <c r="D48" s="23">
        <f>-D13-D29</f>
        <v>8903</v>
      </c>
      <c r="E48" s="23">
        <f>-E13-E29</f>
        <v>7750</v>
      </c>
      <c r="F48" s="23">
        <f>-F13-F29</f>
        <v>8903</v>
      </c>
      <c r="G48" s="23">
        <f t="shared" si="20"/>
        <v>1153</v>
      </c>
      <c r="H48" s="23">
        <f t="shared" si="21"/>
        <v>114.87741935483871</v>
      </c>
      <c r="I48" s="35"/>
      <c r="J48" s="35"/>
      <c r="K48" s="35"/>
      <c r="L48" s="35"/>
      <c r="M48" s="35"/>
    </row>
    <row r="49" spans="1:13" ht="24" customHeight="1">
      <c r="A49" s="76" t="s">
        <v>5</v>
      </c>
      <c r="B49" s="235">
        <v>9040</v>
      </c>
      <c r="C49" s="23">
        <f>-C30-C14-C21</f>
        <v>1039.1999999999998</v>
      </c>
      <c r="D49" s="23">
        <f>-D30-D14-D21</f>
        <v>1458.9</v>
      </c>
      <c r="E49" s="23">
        <f>-E30-E14-E21</f>
        <v>1469.5</v>
      </c>
      <c r="F49" s="23">
        <f>-F30-F14-F21</f>
        <v>1458.9</v>
      </c>
      <c r="G49" s="23">
        <f t="shared" si="20"/>
        <v>-10.599999999999909</v>
      </c>
      <c r="H49" s="23">
        <f t="shared" si="21"/>
        <v>99.278666212997621</v>
      </c>
      <c r="I49" s="35"/>
      <c r="J49" s="35"/>
      <c r="K49" s="35"/>
      <c r="L49" s="35"/>
      <c r="M49" s="35"/>
    </row>
    <row r="50" spans="1:13" ht="21.95" customHeight="1">
      <c r="A50" s="81" t="s">
        <v>7</v>
      </c>
      <c r="B50" s="236">
        <v>9050</v>
      </c>
      <c r="C50" s="75">
        <f>SUM(C45:C49)</f>
        <v>81171.399999999994</v>
      </c>
      <c r="D50" s="75">
        <f t="shared" ref="D50:F50" si="23">SUM(D45:D49)</f>
        <v>93721.5</v>
      </c>
      <c r="E50" s="75">
        <f t="shared" ref="E50" si="24">SUM(E45:E49)</f>
        <v>93674.5</v>
      </c>
      <c r="F50" s="75">
        <f t="shared" si="23"/>
        <v>93721.5</v>
      </c>
      <c r="G50" s="75">
        <f t="shared" si="20"/>
        <v>47</v>
      </c>
      <c r="H50" s="75">
        <f t="shared" si="21"/>
        <v>100.05017373991856</v>
      </c>
      <c r="I50" s="35"/>
      <c r="J50" s="35"/>
      <c r="K50" s="35"/>
      <c r="L50" s="35"/>
      <c r="M50" s="35"/>
    </row>
    <row r="51" spans="1:13" ht="21.95" customHeight="1">
      <c r="A51" s="272" t="s">
        <v>81</v>
      </c>
      <c r="B51" s="272"/>
      <c r="C51" s="272"/>
      <c r="D51" s="272"/>
      <c r="E51" s="272"/>
      <c r="F51" s="272"/>
      <c r="G51" s="272"/>
      <c r="H51" s="272"/>
      <c r="K51" s="35"/>
    </row>
    <row r="52" spans="1:13" ht="63" customHeight="1">
      <c r="A52" s="82" t="s">
        <v>207</v>
      </c>
      <c r="B52" s="74">
        <v>2110</v>
      </c>
      <c r="C52" s="75">
        <f t="shared" ref="C52" si="25">SUM(C53:C56)</f>
        <v>-607.20000000000005</v>
      </c>
      <c r="D52" s="75">
        <f t="shared" ref="D52" si="26">SUM(D53:D56)</f>
        <v>-654.30000000000007</v>
      </c>
      <c r="E52" s="75">
        <f t="shared" ref="E52:F52" si="27">SUM(E53:E56)</f>
        <v>-680.7</v>
      </c>
      <c r="F52" s="75">
        <f t="shared" si="27"/>
        <v>-654.30000000000007</v>
      </c>
      <c r="G52" s="75">
        <f>F52-E52</f>
        <v>26.399999999999977</v>
      </c>
      <c r="H52" s="75">
        <f>(F52/E52)*100</f>
        <v>96.121639488761573</v>
      </c>
      <c r="I52" s="35"/>
      <c r="J52" s="35"/>
    </row>
    <row r="53" spans="1:13" ht="42" customHeight="1">
      <c r="A53" s="76" t="s">
        <v>47</v>
      </c>
      <c r="B53" s="234">
        <v>2111</v>
      </c>
      <c r="C53" s="22">
        <v>-11.2</v>
      </c>
      <c r="D53" s="22">
        <v>-20.2</v>
      </c>
      <c r="E53" s="22">
        <v>-25</v>
      </c>
      <c r="F53" s="22">
        <v>-20.2</v>
      </c>
      <c r="G53" s="23">
        <f t="shared" ref="G53:G68" si="28">F53-E53</f>
        <v>4.8000000000000007</v>
      </c>
      <c r="H53" s="23">
        <f>(F53/E53)*100</f>
        <v>80.8</v>
      </c>
    </row>
    <row r="54" spans="1:13" ht="40.5" customHeight="1">
      <c r="A54" s="83" t="s">
        <v>48</v>
      </c>
      <c r="B54" s="234">
        <v>2112</v>
      </c>
      <c r="C54" s="23"/>
      <c r="D54" s="23"/>
      <c r="E54" s="23"/>
      <c r="F54" s="23"/>
      <c r="G54" s="23">
        <f t="shared" si="28"/>
        <v>0</v>
      </c>
      <c r="H54" s="77"/>
    </row>
    <row r="55" spans="1:13" ht="24.75" customHeight="1">
      <c r="A55" s="76" t="s">
        <v>55</v>
      </c>
      <c r="B55" s="234">
        <v>2113</v>
      </c>
      <c r="C55" s="22">
        <v>-596</v>
      </c>
      <c r="D55" s="22">
        <v>-634.1</v>
      </c>
      <c r="E55" s="22">
        <v>-655.7</v>
      </c>
      <c r="F55" s="22">
        <f>D55</f>
        <v>-634.1</v>
      </c>
      <c r="G55" s="23">
        <f t="shared" si="28"/>
        <v>21.600000000000023</v>
      </c>
      <c r="H55" s="23">
        <f t="shared" ref="H55:H68" si="29">(F55/E55)*100</f>
        <v>96.70581058410859</v>
      </c>
    </row>
    <row r="56" spans="1:13" ht="24.75" customHeight="1">
      <c r="A56" s="76" t="s">
        <v>35</v>
      </c>
      <c r="B56" s="234">
        <v>2114</v>
      </c>
      <c r="C56" s="23"/>
      <c r="D56" s="23"/>
      <c r="E56" s="23"/>
      <c r="F56" s="23"/>
      <c r="G56" s="75">
        <f t="shared" si="28"/>
        <v>0</v>
      </c>
      <c r="H56" s="77"/>
    </row>
    <row r="57" spans="1:13" ht="41.25" customHeight="1">
      <c r="A57" s="84" t="s">
        <v>52</v>
      </c>
      <c r="B57" s="236">
        <v>2120</v>
      </c>
      <c r="C57" s="75">
        <f>SUM(C58:C63)</f>
        <v>-7149.3</v>
      </c>
      <c r="D57" s="75">
        <f>SUM(D58:D63)</f>
        <v>-7609.9000000000005</v>
      </c>
      <c r="E57" s="75">
        <f>SUM(E58:E63)</f>
        <v>-7868.6</v>
      </c>
      <c r="F57" s="75">
        <f>SUM(F58:F63)</f>
        <v>-7609.9000000000005</v>
      </c>
      <c r="G57" s="75">
        <f t="shared" si="28"/>
        <v>258.69999999999982</v>
      </c>
      <c r="H57" s="75">
        <f t="shared" si="29"/>
        <v>96.712248684645303</v>
      </c>
    </row>
    <row r="58" spans="1:13" ht="27" customHeight="1">
      <c r="A58" s="83" t="s">
        <v>34</v>
      </c>
      <c r="B58" s="235">
        <v>2121</v>
      </c>
      <c r="C58" s="23"/>
      <c r="D58" s="23"/>
      <c r="E58" s="23"/>
      <c r="F58" s="23"/>
      <c r="G58" s="75">
        <f t="shared" si="28"/>
        <v>0</v>
      </c>
      <c r="H58" s="77"/>
    </row>
    <row r="59" spans="1:13" ht="27" customHeight="1">
      <c r="A59" s="76" t="s">
        <v>11</v>
      </c>
      <c r="B59" s="235">
        <v>2122</v>
      </c>
      <c r="C59" s="22">
        <v>-7149.3</v>
      </c>
      <c r="D59" s="22">
        <v>-7609.6</v>
      </c>
      <c r="E59" s="22">
        <v>-7868.3</v>
      </c>
      <c r="F59" s="22">
        <f>D59</f>
        <v>-7609.6</v>
      </c>
      <c r="G59" s="23">
        <f t="shared" si="28"/>
        <v>258.69999999999982</v>
      </c>
      <c r="H59" s="23">
        <f t="shared" si="29"/>
        <v>96.712123330325483</v>
      </c>
    </row>
    <row r="60" spans="1:13" ht="21.95" customHeight="1">
      <c r="A60" s="76" t="s">
        <v>38</v>
      </c>
      <c r="B60" s="235">
        <v>2123</v>
      </c>
      <c r="C60" s="23"/>
      <c r="D60" s="23">
        <v>-0.3</v>
      </c>
      <c r="E60" s="23">
        <v>-0.3</v>
      </c>
      <c r="F60" s="23">
        <v>-0.3</v>
      </c>
      <c r="G60" s="75">
        <f t="shared" si="28"/>
        <v>0</v>
      </c>
      <c r="H60" s="77"/>
    </row>
    <row r="61" spans="1:13" ht="25.5" customHeight="1">
      <c r="A61" s="76" t="s">
        <v>39</v>
      </c>
      <c r="B61" s="235">
        <v>2124</v>
      </c>
      <c r="C61" s="23"/>
      <c r="D61" s="23"/>
      <c r="E61" s="23"/>
      <c r="F61" s="23"/>
      <c r="G61" s="75">
        <f t="shared" si="28"/>
        <v>0</v>
      </c>
      <c r="H61" s="77"/>
    </row>
    <row r="62" spans="1:13" ht="80.25" customHeight="1">
      <c r="A62" s="76" t="s">
        <v>99</v>
      </c>
      <c r="B62" s="235">
        <v>2125</v>
      </c>
      <c r="C62" s="23"/>
      <c r="D62" s="23"/>
      <c r="E62" s="23"/>
      <c r="F62" s="23"/>
      <c r="G62" s="75">
        <f t="shared" si="28"/>
        <v>0</v>
      </c>
      <c r="H62" s="77"/>
    </row>
    <row r="63" spans="1:13" ht="22.5" customHeight="1">
      <c r="A63" s="76" t="s">
        <v>35</v>
      </c>
      <c r="B63" s="235">
        <v>2126</v>
      </c>
      <c r="C63" s="23"/>
      <c r="D63" s="23"/>
      <c r="E63" s="23"/>
      <c r="F63" s="23"/>
      <c r="G63" s="75">
        <f t="shared" si="28"/>
        <v>0</v>
      </c>
      <c r="H63" s="77"/>
    </row>
    <row r="64" spans="1:13" ht="44.25" customHeight="1">
      <c r="A64" s="82" t="s">
        <v>53</v>
      </c>
      <c r="B64" s="236">
        <v>2130</v>
      </c>
      <c r="C64" s="75">
        <f t="shared" ref="C64" si="30">SUM(C65:C67)</f>
        <v>-8830.5</v>
      </c>
      <c r="D64" s="75">
        <f t="shared" ref="D64" si="31">SUM(D65:D67)</f>
        <v>-9458.0999999999985</v>
      </c>
      <c r="E64" s="75">
        <f t="shared" ref="E64:F64" si="32">SUM(E65:E67)</f>
        <v>-9789.1</v>
      </c>
      <c r="F64" s="75">
        <f t="shared" si="32"/>
        <v>-9458.0999999999985</v>
      </c>
      <c r="G64" s="75">
        <f t="shared" si="28"/>
        <v>331.00000000000182</v>
      </c>
      <c r="H64" s="75">
        <f t="shared" si="29"/>
        <v>96.618688132719015</v>
      </c>
    </row>
    <row r="65" spans="1:8" ht="24" customHeight="1">
      <c r="A65" s="76" t="s">
        <v>36</v>
      </c>
      <c r="B65" s="235">
        <v>2131</v>
      </c>
      <c r="C65" s="23"/>
      <c r="D65" s="23"/>
      <c r="E65" s="23"/>
      <c r="F65" s="23"/>
      <c r="G65" s="75">
        <f t="shared" si="28"/>
        <v>0</v>
      </c>
      <c r="H65" s="77"/>
    </row>
    <row r="66" spans="1:8" ht="44.25" customHeight="1">
      <c r="A66" s="76" t="s">
        <v>37</v>
      </c>
      <c r="B66" s="235">
        <v>2132</v>
      </c>
      <c r="C66" s="22">
        <v>-8467.2000000000007</v>
      </c>
      <c r="D66" s="22">
        <v>-9068.2999999999993</v>
      </c>
      <c r="E66" s="22">
        <v>-9427.9</v>
      </c>
      <c r="F66" s="22">
        <v>-9068.2999999999993</v>
      </c>
      <c r="G66" s="23">
        <f t="shared" si="28"/>
        <v>359.60000000000036</v>
      </c>
      <c r="H66" s="23">
        <f t="shared" si="29"/>
        <v>96.185788988003679</v>
      </c>
    </row>
    <row r="67" spans="1:8" ht="39" customHeight="1">
      <c r="A67" s="76" t="s">
        <v>203</v>
      </c>
      <c r="B67" s="235">
        <v>2133</v>
      </c>
      <c r="C67" s="22">
        <v>-363.3</v>
      </c>
      <c r="D67" s="22">
        <v>-389.8</v>
      </c>
      <c r="E67" s="22">
        <v>-361.2</v>
      </c>
      <c r="F67" s="22">
        <v>-389.8</v>
      </c>
      <c r="G67" s="23">
        <f t="shared" si="28"/>
        <v>-28.600000000000023</v>
      </c>
      <c r="H67" s="23">
        <f t="shared" si="29"/>
        <v>107.91805094130676</v>
      </c>
    </row>
    <row r="68" spans="1:8" ht="30" customHeight="1">
      <c r="A68" s="84" t="s">
        <v>49</v>
      </c>
      <c r="B68" s="236">
        <v>2200</v>
      </c>
      <c r="C68" s="75">
        <f>SUM(C52+C57+C64)</f>
        <v>-16587</v>
      </c>
      <c r="D68" s="75">
        <f>SUM(D52+D57+D64)</f>
        <v>-17722.3</v>
      </c>
      <c r="E68" s="75">
        <f>SUM(E52+E57+E64)</f>
        <v>-18338.400000000001</v>
      </c>
      <c r="F68" s="75">
        <f>SUM(F52+F57+F64)</f>
        <v>-17722.3</v>
      </c>
      <c r="G68" s="75">
        <f t="shared" si="28"/>
        <v>616.10000000000218</v>
      </c>
      <c r="H68" s="75">
        <f t="shared" si="29"/>
        <v>96.640383021419524</v>
      </c>
    </row>
    <row r="69" spans="1:8" ht="31.5" customHeight="1">
      <c r="A69" s="273" t="s">
        <v>82</v>
      </c>
      <c r="B69" s="274"/>
      <c r="C69" s="274"/>
      <c r="D69" s="274"/>
      <c r="E69" s="274"/>
      <c r="F69" s="274"/>
      <c r="G69" s="274"/>
      <c r="H69" s="275"/>
    </row>
    <row r="70" spans="1:8" ht="27.75" customHeight="1">
      <c r="A70" s="73" t="s">
        <v>16</v>
      </c>
      <c r="B70" s="74">
        <v>4000</v>
      </c>
      <c r="C70" s="75">
        <f>SUM(C71:C77)</f>
        <v>1512.1</v>
      </c>
      <c r="D70" s="75">
        <f>SUM(D71:D77)</f>
        <v>4726.7</v>
      </c>
      <c r="E70" s="75">
        <f>SUM(E71:E77)</f>
        <v>0</v>
      </c>
      <c r="F70" s="75">
        <f>SUM(F71:F77)</f>
        <v>4726.7</v>
      </c>
      <c r="G70" s="75">
        <f>F70-E70</f>
        <v>4726.7</v>
      </c>
      <c r="H70" s="95" t="e">
        <f>(F70/E70)*100</f>
        <v>#DIV/0!</v>
      </c>
    </row>
    <row r="71" spans="1:8" ht="30.75" customHeight="1">
      <c r="A71" s="76" t="s">
        <v>56</v>
      </c>
      <c r="B71" s="234">
        <v>4010</v>
      </c>
      <c r="C71" s="23"/>
      <c r="D71" s="23"/>
      <c r="E71" s="23"/>
      <c r="F71" s="23"/>
      <c r="G71" s="75">
        <f t="shared" ref="G71:G77" si="33">F71-E71</f>
        <v>0</v>
      </c>
      <c r="H71" s="94"/>
    </row>
    <row r="72" spans="1:8" ht="42.75" customHeight="1">
      <c r="A72" s="76" t="s">
        <v>222</v>
      </c>
      <c r="B72" s="234">
        <v>4020</v>
      </c>
      <c r="C72" s="23">
        <v>385.6</v>
      </c>
      <c r="D72" s="23">
        <v>4541.2</v>
      </c>
      <c r="E72" s="23"/>
      <c r="F72" s="23">
        <f>D72</f>
        <v>4541.2</v>
      </c>
      <c r="G72" s="231">
        <f t="shared" si="33"/>
        <v>4541.2</v>
      </c>
      <c r="H72" s="94" t="e">
        <f t="shared" ref="H72:H76" si="34">(F72/E72)*100</f>
        <v>#DIV/0!</v>
      </c>
    </row>
    <row r="73" spans="1:8" ht="57.75" customHeight="1">
      <c r="A73" s="76" t="s">
        <v>64</v>
      </c>
      <c r="B73" s="234">
        <v>4030</v>
      </c>
      <c r="C73" s="23"/>
      <c r="D73" s="23"/>
      <c r="E73" s="23"/>
      <c r="F73" s="23"/>
      <c r="G73" s="75">
        <f t="shared" si="33"/>
        <v>0</v>
      </c>
      <c r="H73" s="252" t="e">
        <f t="shared" si="34"/>
        <v>#DIV/0!</v>
      </c>
    </row>
    <row r="74" spans="1:8" ht="42" customHeight="1">
      <c r="A74" s="76" t="s">
        <v>223</v>
      </c>
      <c r="B74" s="234">
        <v>4040</v>
      </c>
      <c r="C74" s="23"/>
      <c r="D74" s="23"/>
      <c r="E74" s="23"/>
      <c r="F74" s="23"/>
      <c r="G74" s="75">
        <f t="shared" si="33"/>
        <v>0</v>
      </c>
      <c r="H74" s="252" t="e">
        <f t="shared" si="34"/>
        <v>#DIV/0!</v>
      </c>
    </row>
    <row r="75" spans="1:8" ht="61.5" customHeight="1">
      <c r="A75" s="76" t="s">
        <v>57</v>
      </c>
      <c r="B75" s="234">
        <v>4050</v>
      </c>
      <c r="C75" s="45"/>
      <c r="D75" s="45"/>
      <c r="E75" s="23"/>
      <c r="F75" s="45"/>
      <c r="G75" s="75">
        <f t="shared" si="33"/>
        <v>0</v>
      </c>
      <c r="H75" s="252" t="e">
        <f t="shared" si="34"/>
        <v>#DIV/0!</v>
      </c>
    </row>
    <row r="76" spans="1:8" ht="27.75" customHeight="1">
      <c r="A76" s="76" t="s">
        <v>58</v>
      </c>
      <c r="B76" s="234">
        <v>4060</v>
      </c>
      <c r="C76" s="23">
        <v>1126.5</v>
      </c>
      <c r="D76" s="23">
        <v>185.5</v>
      </c>
      <c r="E76" s="23"/>
      <c r="F76" s="23">
        <f>D76</f>
        <v>185.5</v>
      </c>
      <c r="G76" s="23">
        <f t="shared" si="33"/>
        <v>185.5</v>
      </c>
      <c r="H76" s="252" t="e">
        <f t="shared" si="34"/>
        <v>#DIV/0!</v>
      </c>
    </row>
    <row r="77" spans="1:8" ht="24.75" customHeight="1">
      <c r="A77" s="76" t="s">
        <v>44</v>
      </c>
      <c r="B77" s="234">
        <v>4070</v>
      </c>
      <c r="C77" s="23"/>
      <c r="D77" s="23"/>
      <c r="E77" s="23"/>
      <c r="F77" s="23"/>
      <c r="G77" s="75">
        <f t="shared" si="33"/>
        <v>0</v>
      </c>
      <c r="H77" s="232"/>
    </row>
    <row r="78" spans="1:8" ht="21.95" customHeight="1">
      <c r="A78" s="256" t="s">
        <v>83</v>
      </c>
      <c r="B78" s="257"/>
      <c r="C78" s="257"/>
      <c r="D78" s="257"/>
      <c r="E78" s="257"/>
      <c r="F78" s="257"/>
      <c r="G78" s="257"/>
      <c r="H78" s="258"/>
    </row>
    <row r="79" spans="1:8" ht="58.5" customHeight="1">
      <c r="A79" s="265" t="s">
        <v>20</v>
      </c>
      <c r="B79" s="261" t="s">
        <v>4</v>
      </c>
      <c r="C79" s="259" t="s">
        <v>102</v>
      </c>
      <c r="D79" s="260"/>
      <c r="E79" s="261" t="s">
        <v>298</v>
      </c>
      <c r="F79" s="261" t="s">
        <v>297</v>
      </c>
      <c r="G79" s="261" t="s">
        <v>92</v>
      </c>
      <c r="H79" s="263" t="s">
        <v>92</v>
      </c>
    </row>
    <row r="80" spans="1:8" ht="45" customHeight="1">
      <c r="A80" s="266"/>
      <c r="B80" s="262"/>
      <c r="C80" s="235" t="s">
        <v>246</v>
      </c>
      <c r="D80" s="235" t="s">
        <v>295</v>
      </c>
      <c r="E80" s="262"/>
      <c r="F80" s="262"/>
      <c r="G80" s="262"/>
      <c r="H80" s="264"/>
    </row>
    <row r="81" spans="1:10" s="65" customFormat="1" ht="83.25" customHeight="1">
      <c r="A81" s="84" t="s">
        <v>224</v>
      </c>
      <c r="B81" s="85" t="s">
        <v>26</v>
      </c>
      <c r="C81" s="50">
        <f t="shared" ref="C81" si="35">SUM(C82:C84)</f>
        <v>737</v>
      </c>
      <c r="D81" s="50">
        <f t="shared" ref="D81:E81" si="36">SUM(D82:D84)</f>
        <v>749</v>
      </c>
      <c r="E81" s="86">
        <f t="shared" si="36"/>
        <v>745</v>
      </c>
      <c r="F81" s="50">
        <f t="shared" ref="F81" si="37">SUM(F82:F84)</f>
        <v>749</v>
      </c>
      <c r="G81" s="86">
        <f>F81-E81</f>
        <v>4</v>
      </c>
      <c r="H81" s="75">
        <f>F81/E81*100</f>
        <v>100.53691275167785</v>
      </c>
      <c r="I81" s="57"/>
      <c r="J81" s="57"/>
    </row>
    <row r="82" spans="1:10" ht="21.95" customHeight="1">
      <c r="A82" s="78" t="s">
        <v>18</v>
      </c>
      <c r="B82" s="234" t="s">
        <v>27</v>
      </c>
      <c r="C82" s="22">
        <v>1</v>
      </c>
      <c r="D82" s="22">
        <v>1</v>
      </c>
      <c r="E82" s="22">
        <v>1</v>
      </c>
      <c r="F82" s="22">
        <v>1</v>
      </c>
      <c r="G82" s="23">
        <f t="shared" ref="G82:G96" si="38">F82-E82</f>
        <v>0</v>
      </c>
      <c r="H82" s="23">
        <f t="shared" ref="H82:H96" si="39">F82/E82*100</f>
        <v>100</v>
      </c>
    </row>
    <row r="83" spans="1:10" ht="21.95" customHeight="1">
      <c r="A83" s="78" t="s">
        <v>21</v>
      </c>
      <c r="B83" s="234" t="s">
        <v>28</v>
      </c>
      <c r="C83" s="22">
        <v>27</v>
      </c>
      <c r="D83" s="22">
        <v>27</v>
      </c>
      <c r="E83" s="22">
        <v>26</v>
      </c>
      <c r="F83" s="22">
        <v>27</v>
      </c>
      <c r="G83" s="23">
        <f t="shared" si="38"/>
        <v>1</v>
      </c>
      <c r="H83" s="23">
        <f t="shared" si="39"/>
        <v>103.84615384615385</v>
      </c>
    </row>
    <row r="84" spans="1:10" ht="21.95" customHeight="1">
      <c r="A84" s="78" t="s">
        <v>19</v>
      </c>
      <c r="B84" s="234" t="s">
        <v>29</v>
      </c>
      <c r="C84" s="22">
        <v>709</v>
      </c>
      <c r="D84" s="22">
        <v>721</v>
      </c>
      <c r="E84" s="22">
        <v>718</v>
      </c>
      <c r="F84" s="22">
        <v>721</v>
      </c>
      <c r="G84" s="23">
        <f t="shared" si="38"/>
        <v>3</v>
      </c>
      <c r="H84" s="23">
        <f t="shared" si="39"/>
        <v>100.41782729805013</v>
      </c>
    </row>
    <row r="85" spans="1:10" ht="21.95" customHeight="1">
      <c r="A85" s="73" t="s">
        <v>65</v>
      </c>
      <c r="B85" s="74" t="s">
        <v>30</v>
      </c>
      <c r="C85" s="180">
        <f>SUM(C86:C88)</f>
        <v>39476.5</v>
      </c>
      <c r="D85" s="180">
        <f>SUM(D86:D88)</f>
        <v>42275.8</v>
      </c>
      <c r="E85" s="180">
        <f t="shared" ref="E85" si="40">SUM(E86:E88)</f>
        <v>43712.9</v>
      </c>
      <c r="F85" s="180">
        <f>SUM(F86:F88)</f>
        <v>42275.8</v>
      </c>
      <c r="G85" s="180">
        <f t="shared" si="38"/>
        <v>-1437.0999999999985</v>
      </c>
      <c r="H85" s="180">
        <f t="shared" si="39"/>
        <v>96.712412125482416</v>
      </c>
    </row>
    <row r="86" spans="1:10" ht="21.95" customHeight="1">
      <c r="A86" s="78" t="s">
        <v>18</v>
      </c>
      <c r="B86" s="234">
        <v>8011</v>
      </c>
      <c r="C86" s="181">
        <v>216.6</v>
      </c>
      <c r="D86" s="181">
        <v>261.10000000000002</v>
      </c>
      <c r="E86" s="181">
        <v>261.10000000000002</v>
      </c>
      <c r="F86" s="181">
        <v>261.10000000000002</v>
      </c>
      <c r="G86" s="181">
        <f t="shared" si="38"/>
        <v>0</v>
      </c>
      <c r="H86" s="181">
        <f t="shared" si="39"/>
        <v>100</v>
      </c>
      <c r="I86" s="60"/>
      <c r="J86" s="60"/>
    </row>
    <row r="87" spans="1:10" ht="21.95" customHeight="1">
      <c r="A87" s="78" t="s">
        <v>21</v>
      </c>
      <c r="B87" s="234">
        <v>8012</v>
      </c>
      <c r="C87" s="181">
        <v>2573.5</v>
      </c>
      <c r="D87" s="181">
        <v>2618.8000000000002</v>
      </c>
      <c r="E87" s="181">
        <v>3138.9</v>
      </c>
      <c r="F87" s="181">
        <v>2618.8000000000002</v>
      </c>
      <c r="G87" s="181">
        <f t="shared" si="38"/>
        <v>-520.09999999999991</v>
      </c>
      <c r="H87" s="181">
        <f t="shared" si="39"/>
        <v>83.430501130969446</v>
      </c>
    </row>
    <row r="88" spans="1:10" ht="21.95" customHeight="1">
      <c r="A88" s="78" t="s">
        <v>19</v>
      </c>
      <c r="B88" s="234">
        <v>8013</v>
      </c>
      <c r="C88" s="181">
        <v>36686.400000000001</v>
      </c>
      <c r="D88" s="181">
        <v>39395.9</v>
      </c>
      <c r="E88" s="181">
        <v>40312.9</v>
      </c>
      <c r="F88" s="181">
        <v>39395.9</v>
      </c>
      <c r="G88" s="181">
        <f t="shared" si="38"/>
        <v>-917</v>
      </c>
      <c r="H88" s="181">
        <f t="shared" si="39"/>
        <v>97.725293888556763</v>
      </c>
    </row>
    <row r="89" spans="1:10" ht="21.95" customHeight="1">
      <c r="A89" s="73" t="s">
        <v>1</v>
      </c>
      <c r="B89" s="74">
        <v>8020</v>
      </c>
      <c r="C89" s="180">
        <f t="shared" ref="C89" si="41">SUM(C90:C92)</f>
        <v>39476.5</v>
      </c>
      <c r="D89" s="180">
        <f t="shared" ref="D89:F89" si="42">SUM(D90:D92)</f>
        <v>42275.8</v>
      </c>
      <c r="E89" s="180">
        <f t="shared" ref="E89" si="43">SUM(E90:E92)</f>
        <v>43712.9</v>
      </c>
      <c r="F89" s="180">
        <f t="shared" si="42"/>
        <v>42275.8</v>
      </c>
      <c r="G89" s="180">
        <f t="shared" si="38"/>
        <v>-1437.0999999999985</v>
      </c>
      <c r="H89" s="180">
        <f t="shared" si="39"/>
        <v>96.712412125482416</v>
      </c>
    </row>
    <row r="90" spans="1:10" ht="21.95" customHeight="1">
      <c r="A90" s="78" t="s">
        <v>18</v>
      </c>
      <c r="B90" s="234">
        <v>8021</v>
      </c>
      <c r="C90" s="181">
        <v>216.6</v>
      </c>
      <c r="D90" s="181">
        <v>261.10000000000002</v>
      </c>
      <c r="E90" s="181">
        <v>261.10000000000002</v>
      </c>
      <c r="F90" s="181">
        <v>261.10000000000002</v>
      </c>
      <c r="G90" s="181">
        <f t="shared" si="38"/>
        <v>0</v>
      </c>
      <c r="H90" s="181">
        <f t="shared" si="39"/>
        <v>100</v>
      </c>
    </row>
    <row r="91" spans="1:10" ht="21.95" customHeight="1">
      <c r="A91" s="78" t="s">
        <v>21</v>
      </c>
      <c r="B91" s="234">
        <v>8022</v>
      </c>
      <c r="C91" s="181">
        <v>2573.5</v>
      </c>
      <c r="D91" s="181">
        <v>2618.8000000000002</v>
      </c>
      <c r="E91" s="181">
        <v>3138.9</v>
      </c>
      <c r="F91" s="181">
        <v>2618.8000000000002</v>
      </c>
      <c r="G91" s="181">
        <f t="shared" si="38"/>
        <v>-520.09999999999991</v>
      </c>
      <c r="H91" s="181">
        <f t="shared" si="39"/>
        <v>83.430501130969446</v>
      </c>
    </row>
    <row r="92" spans="1:10" ht="21.95" customHeight="1">
      <c r="A92" s="78" t="s">
        <v>19</v>
      </c>
      <c r="B92" s="234">
        <v>8023</v>
      </c>
      <c r="C92" s="181">
        <v>36686.400000000001</v>
      </c>
      <c r="D92" s="181">
        <v>39395.9</v>
      </c>
      <c r="E92" s="181">
        <v>40312.9</v>
      </c>
      <c r="F92" s="181">
        <v>39395.9</v>
      </c>
      <c r="G92" s="181">
        <f t="shared" si="38"/>
        <v>-917</v>
      </c>
      <c r="H92" s="181">
        <f t="shared" si="39"/>
        <v>97.725293888556763</v>
      </c>
    </row>
    <row r="93" spans="1:10" s="65" customFormat="1" ht="39.75" customHeight="1">
      <c r="A93" s="84" t="s">
        <v>43</v>
      </c>
      <c r="B93" s="85" t="s">
        <v>66</v>
      </c>
      <c r="C93" s="180">
        <f t="shared" ref="C93:C96" si="44">(C89/C81)/3*1000</f>
        <v>17854.590682948892</v>
      </c>
      <c r="D93" s="180">
        <f t="shared" ref="D93:E96" si="45">(D89/D81)/3*1000</f>
        <v>18814.330218068539</v>
      </c>
      <c r="E93" s="180">
        <f t="shared" si="45"/>
        <v>19558.34451901566</v>
      </c>
      <c r="F93" s="180">
        <f t="shared" ref="F93" si="46">(F89/F81)/3*1000</f>
        <v>18814.330218068539</v>
      </c>
      <c r="G93" s="180">
        <f t="shared" si="38"/>
        <v>-744.01430094712123</v>
      </c>
      <c r="H93" s="180">
        <f t="shared" si="39"/>
        <v>96.195923943236863</v>
      </c>
    </row>
    <row r="94" spans="1:10" ht="21.95" customHeight="1">
      <c r="A94" s="78" t="s">
        <v>18</v>
      </c>
      <c r="B94" s="234">
        <v>8031</v>
      </c>
      <c r="C94" s="181">
        <f t="shared" si="44"/>
        <v>72200</v>
      </c>
      <c r="D94" s="181">
        <f t="shared" ref="D94:F94" si="47">(D90/D82)/3*1000</f>
        <v>87033.333333333343</v>
      </c>
      <c r="E94" s="181">
        <f t="shared" si="45"/>
        <v>87033.333333333343</v>
      </c>
      <c r="F94" s="181">
        <f t="shared" si="47"/>
        <v>87033.333333333343</v>
      </c>
      <c r="G94" s="181">
        <f t="shared" si="38"/>
        <v>0</v>
      </c>
      <c r="H94" s="181">
        <f t="shared" si="39"/>
        <v>100</v>
      </c>
    </row>
    <row r="95" spans="1:10" ht="21.95" customHeight="1">
      <c r="A95" s="78" t="s">
        <v>21</v>
      </c>
      <c r="B95" s="234">
        <v>8032</v>
      </c>
      <c r="C95" s="181">
        <f t="shared" si="44"/>
        <v>31771.604938271605</v>
      </c>
      <c r="D95" s="181">
        <f t="shared" ref="D95:F95" si="48">(D91/D83)/3*1000</f>
        <v>32330.864197530864</v>
      </c>
      <c r="E95" s="181">
        <f>(E91/E83)/3*1000</f>
        <v>40242.307692307695</v>
      </c>
      <c r="F95" s="181">
        <f t="shared" si="48"/>
        <v>32330.864197530864</v>
      </c>
      <c r="G95" s="181">
        <f>F95-E95</f>
        <v>-7911.4434947768314</v>
      </c>
      <c r="H95" s="181">
        <f t="shared" si="39"/>
        <v>80.340482570563168</v>
      </c>
    </row>
    <row r="96" spans="1:10" ht="21.95" customHeight="1">
      <c r="A96" s="78" t="s">
        <v>19</v>
      </c>
      <c r="B96" s="234">
        <v>8033</v>
      </c>
      <c r="C96" s="181">
        <f t="shared" si="44"/>
        <v>17247.954866008462</v>
      </c>
      <c r="D96" s="181">
        <f t="shared" ref="D96:F96" si="49">(D92/D84)/3*1000</f>
        <v>18213.546000924642</v>
      </c>
      <c r="E96" s="181">
        <f t="shared" si="45"/>
        <v>18715.366759517179</v>
      </c>
      <c r="F96" s="181">
        <f t="shared" si="49"/>
        <v>18213.546000924642</v>
      </c>
      <c r="G96" s="181">
        <f t="shared" si="38"/>
        <v>-501.82075859253746</v>
      </c>
      <c r="H96" s="181">
        <f t="shared" si="39"/>
        <v>97.318669919533633</v>
      </c>
    </row>
    <row r="97" spans="1:8" s="65" customFormat="1" ht="112.5" customHeight="1">
      <c r="A97" s="87" t="s">
        <v>213</v>
      </c>
      <c r="B97" s="88"/>
      <c r="C97" s="201"/>
      <c r="D97" s="267"/>
      <c r="E97" s="267"/>
      <c r="F97" s="89"/>
      <c r="G97" s="255" t="s">
        <v>242</v>
      </c>
      <c r="H97" s="255"/>
    </row>
    <row r="98" spans="1:8" s="65" customFormat="1" ht="29.25" customHeight="1">
      <c r="A98" s="233" t="s">
        <v>8</v>
      </c>
      <c r="B98" s="90"/>
      <c r="D98" s="268" t="s">
        <v>9</v>
      </c>
      <c r="E98" s="268"/>
      <c r="F98" s="91"/>
      <c r="G98" s="254" t="s">
        <v>13</v>
      </c>
      <c r="H98" s="254"/>
    </row>
    <row r="99" spans="1:8" s="65" customFormat="1">
      <c r="A99" s="4"/>
      <c r="C99" s="175"/>
      <c r="E99" s="179"/>
      <c r="F99" s="1"/>
      <c r="G99" s="1"/>
      <c r="H99" s="1"/>
    </row>
    <row r="100" spans="1:8" s="65" customFormat="1">
      <c r="A100" s="4"/>
      <c r="C100" s="175"/>
      <c r="E100" s="179"/>
      <c r="F100" s="1"/>
      <c r="G100" s="1"/>
      <c r="H100" s="1"/>
    </row>
    <row r="101" spans="1:8" s="65" customFormat="1">
      <c r="A101" s="4"/>
      <c r="C101" s="175"/>
      <c r="E101" s="179"/>
      <c r="F101" s="1"/>
      <c r="G101" s="1"/>
      <c r="H101" s="1"/>
    </row>
    <row r="102" spans="1:8" s="65" customFormat="1">
      <c r="A102" s="4"/>
      <c r="C102" s="175"/>
      <c r="E102" s="179"/>
      <c r="F102" s="1"/>
      <c r="G102" s="1"/>
      <c r="H102" s="1"/>
    </row>
    <row r="103" spans="1:8" s="65" customFormat="1">
      <c r="A103" s="4"/>
      <c r="C103" s="175"/>
      <c r="E103" s="179"/>
      <c r="F103" s="1"/>
      <c r="G103" s="1"/>
      <c r="H103" s="1"/>
    </row>
    <row r="104" spans="1:8" s="65" customFormat="1">
      <c r="A104" s="4"/>
      <c r="C104" s="175"/>
      <c r="E104" s="179"/>
      <c r="F104" s="1"/>
      <c r="G104" s="1"/>
      <c r="H104" s="1"/>
    </row>
    <row r="105" spans="1:8" s="65" customFormat="1">
      <c r="A105" s="4"/>
      <c r="C105" s="175"/>
      <c r="E105" s="179"/>
      <c r="F105" s="1"/>
      <c r="G105" s="1"/>
      <c r="H105" s="1"/>
    </row>
    <row r="106" spans="1:8" s="65" customFormat="1">
      <c r="A106" s="4"/>
      <c r="C106" s="175"/>
      <c r="E106" s="179"/>
      <c r="F106" s="1"/>
      <c r="G106" s="1"/>
      <c r="H106" s="1"/>
    </row>
    <row r="107" spans="1:8" s="65" customFormat="1">
      <c r="A107" s="4"/>
      <c r="C107" s="175"/>
      <c r="E107" s="179"/>
      <c r="F107" s="1"/>
      <c r="G107" s="1"/>
      <c r="H107" s="1"/>
    </row>
    <row r="108" spans="1:8" s="65" customFormat="1">
      <c r="A108" s="4"/>
      <c r="C108" s="175"/>
      <c r="E108" s="179"/>
      <c r="F108" s="1"/>
      <c r="G108" s="1"/>
      <c r="H108" s="1"/>
    </row>
    <row r="109" spans="1:8" s="65" customFormat="1">
      <c r="A109" s="4"/>
      <c r="C109" s="175"/>
      <c r="E109" s="179"/>
      <c r="F109" s="1"/>
      <c r="G109" s="1"/>
      <c r="H109" s="1"/>
    </row>
    <row r="110" spans="1:8" s="65" customFormat="1">
      <c r="A110" s="4"/>
      <c r="C110" s="175"/>
      <c r="E110" s="179"/>
      <c r="F110" s="1"/>
      <c r="G110" s="1"/>
      <c r="H110" s="1"/>
    </row>
    <row r="111" spans="1:8" s="65" customFormat="1">
      <c r="A111" s="4"/>
      <c r="C111" s="175"/>
      <c r="E111" s="179"/>
      <c r="F111" s="1"/>
      <c r="G111" s="1"/>
      <c r="H111" s="1"/>
    </row>
    <row r="112" spans="1:8" s="65" customFormat="1">
      <c r="A112" s="4"/>
      <c r="C112" s="175"/>
      <c r="E112" s="179"/>
      <c r="F112" s="1"/>
      <c r="G112" s="1"/>
      <c r="H112" s="1"/>
    </row>
    <row r="113" spans="1:8" s="65" customFormat="1">
      <c r="A113" s="4"/>
      <c r="C113" s="175"/>
      <c r="E113" s="179"/>
      <c r="F113" s="1"/>
      <c r="G113" s="1"/>
      <c r="H113" s="1"/>
    </row>
    <row r="114" spans="1:8" s="65" customFormat="1">
      <c r="A114" s="4"/>
      <c r="C114" s="175"/>
      <c r="E114" s="179"/>
      <c r="F114" s="1"/>
      <c r="G114" s="1"/>
      <c r="H114" s="1"/>
    </row>
    <row r="115" spans="1:8" s="65" customFormat="1">
      <c r="A115" s="4"/>
      <c r="C115" s="175"/>
      <c r="E115" s="179"/>
      <c r="F115" s="1"/>
      <c r="G115" s="1"/>
      <c r="H115" s="1"/>
    </row>
    <row r="116" spans="1:8" s="65" customFormat="1">
      <c r="A116" s="4"/>
      <c r="C116" s="175"/>
      <c r="E116" s="179"/>
      <c r="F116" s="1"/>
      <c r="G116" s="1"/>
      <c r="H116" s="1"/>
    </row>
    <row r="117" spans="1:8" s="65" customFormat="1">
      <c r="A117" s="4"/>
      <c r="C117" s="175"/>
      <c r="E117" s="179"/>
      <c r="F117" s="1"/>
      <c r="G117" s="1"/>
      <c r="H117" s="1"/>
    </row>
    <row r="118" spans="1:8" s="65" customFormat="1">
      <c r="A118" s="4"/>
      <c r="C118" s="175"/>
      <c r="E118" s="179"/>
      <c r="F118" s="1"/>
      <c r="G118" s="1"/>
      <c r="H118" s="1"/>
    </row>
    <row r="119" spans="1:8" s="65" customFormat="1">
      <c r="A119" s="4"/>
      <c r="C119" s="175"/>
      <c r="E119" s="179"/>
      <c r="F119" s="1"/>
      <c r="G119" s="1"/>
      <c r="H119" s="1"/>
    </row>
    <row r="120" spans="1:8" s="65" customFormat="1">
      <c r="A120" s="4"/>
      <c r="C120" s="175"/>
      <c r="E120" s="179"/>
      <c r="F120" s="1"/>
      <c r="G120" s="1"/>
      <c r="H120" s="1"/>
    </row>
    <row r="121" spans="1:8" s="65" customFormat="1">
      <c r="A121" s="4"/>
      <c r="C121" s="175"/>
      <c r="E121" s="179"/>
      <c r="F121" s="1"/>
      <c r="G121" s="1"/>
      <c r="H121" s="1"/>
    </row>
    <row r="122" spans="1:8" s="65" customFormat="1">
      <c r="A122" s="4"/>
      <c r="C122" s="175"/>
      <c r="E122" s="179"/>
      <c r="F122" s="1"/>
      <c r="G122" s="1"/>
      <c r="H122" s="1"/>
    </row>
    <row r="123" spans="1:8" s="65" customFormat="1">
      <c r="A123" s="4"/>
      <c r="C123" s="175"/>
      <c r="E123" s="179"/>
      <c r="F123" s="1"/>
      <c r="G123" s="1"/>
      <c r="H123" s="1"/>
    </row>
    <row r="124" spans="1:8" s="65" customFormat="1">
      <c r="A124" s="4"/>
      <c r="C124" s="175"/>
      <c r="E124" s="179"/>
      <c r="F124" s="1"/>
      <c r="G124" s="1"/>
      <c r="H124" s="1"/>
    </row>
    <row r="125" spans="1:8" s="65" customFormat="1">
      <c r="A125" s="4"/>
      <c r="C125" s="175"/>
      <c r="E125" s="179"/>
      <c r="F125" s="1"/>
      <c r="G125" s="1"/>
      <c r="H125" s="1"/>
    </row>
    <row r="126" spans="1:8" s="65" customFormat="1">
      <c r="A126" s="4"/>
      <c r="C126" s="175"/>
      <c r="E126" s="179"/>
      <c r="F126" s="1"/>
      <c r="G126" s="1"/>
      <c r="H126" s="1"/>
    </row>
    <row r="127" spans="1:8" s="65" customFormat="1">
      <c r="A127" s="4"/>
      <c r="C127" s="175"/>
      <c r="E127" s="179"/>
      <c r="F127" s="1"/>
      <c r="G127" s="1"/>
      <c r="H127" s="1"/>
    </row>
    <row r="128" spans="1:8" s="65" customFormat="1">
      <c r="A128" s="4"/>
      <c r="C128" s="175"/>
      <c r="E128" s="179"/>
      <c r="F128" s="1"/>
      <c r="G128" s="1"/>
      <c r="H128" s="1"/>
    </row>
    <row r="129" spans="1:8" s="65" customFormat="1">
      <c r="A129" s="4"/>
      <c r="C129" s="175"/>
      <c r="E129" s="179"/>
      <c r="F129" s="1"/>
      <c r="G129" s="1"/>
      <c r="H129" s="1"/>
    </row>
    <row r="130" spans="1:8" s="65" customFormat="1">
      <c r="A130" s="4"/>
      <c r="C130" s="175"/>
      <c r="E130" s="179"/>
      <c r="F130" s="1"/>
      <c r="G130" s="1"/>
      <c r="H130" s="1"/>
    </row>
    <row r="131" spans="1:8" s="65" customFormat="1">
      <c r="A131" s="4"/>
      <c r="C131" s="175"/>
      <c r="E131" s="179"/>
      <c r="F131" s="1"/>
      <c r="G131" s="1"/>
      <c r="H131" s="1"/>
    </row>
    <row r="132" spans="1:8" s="65" customFormat="1">
      <c r="A132" s="4"/>
      <c r="C132" s="175"/>
      <c r="E132" s="179"/>
      <c r="F132" s="1"/>
      <c r="G132" s="1"/>
      <c r="H132" s="1"/>
    </row>
    <row r="133" spans="1:8" s="65" customFormat="1">
      <c r="A133" s="4"/>
      <c r="C133" s="175"/>
      <c r="E133" s="179"/>
      <c r="F133" s="1"/>
      <c r="G133" s="1"/>
      <c r="H133" s="1"/>
    </row>
    <row r="134" spans="1:8" s="65" customFormat="1">
      <c r="A134" s="4"/>
      <c r="C134" s="175"/>
      <c r="E134" s="179"/>
      <c r="F134" s="1"/>
      <c r="G134" s="1"/>
      <c r="H134" s="1"/>
    </row>
    <row r="135" spans="1:8" s="65" customFormat="1">
      <c r="A135" s="4"/>
      <c r="C135" s="175"/>
      <c r="E135" s="179"/>
      <c r="F135" s="1"/>
      <c r="G135" s="1"/>
      <c r="H135" s="1"/>
    </row>
    <row r="136" spans="1:8" s="65" customFormat="1">
      <c r="A136" s="4"/>
      <c r="C136" s="175"/>
      <c r="E136" s="179"/>
      <c r="F136" s="1"/>
      <c r="G136" s="1"/>
      <c r="H136" s="1"/>
    </row>
    <row r="137" spans="1:8" s="65" customFormat="1">
      <c r="A137" s="4"/>
      <c r="C137" s="175"/>
      <c r="E137" s="179"/>
      <c r="F137" s="1"/>
      <c r="G137" s="1"/>
      <c r="H137" s="1"/>
    </row>
    <row r="138" spans="1:8" s="65" customFormat="1">
      <c r="A138" s="4"/>
      <c r="C138" s="175"/>
      <c r="E138" s="179"/>
      <c r="F138" s="1"/>
      <c r="G138" s="1"/>
      <c r="H138" s="1"/>
    </row>
    <row r="139" spans="1:8" s="65" customFormat="1">
      <c r="A139" s="4"/>
      <c r="C139" s="175"/>
      <c r="E139" s="179"/>
      <c r="F139" s="1"/>
      <c r="G139" s="1"/>
      <c r="H139" s="1"/>
    </row>
    <row r="140" spans="1:8" s="65" customFormat="1">
      <c r="A140" s="4"/>
      <c r="C140" s="175"/>
      <c r="E140" s="179"/>
      <c r="F140" s="1"/>
      <c r="G140" s="1"/>
      <c r="H140" s="1"/>
    </row>
    <row r="141" spans="1:8" s="65" customFormat="1">
      <c r="A141" s="4"/>
      <c r="C141" s="175"/>
      <c r="E141" s="179"/>
      <c r="F141" s="1"/>
      <c r="G141" s="1"/>
      <c r="H141" s="1"/>
    </row>
    <row r="142" spans="1:8" s="65" customFormat="1">
      <c r="A142" s="4"/>
      <c r="C142" s="175"/>
      <c r="E142" s="179"/>
      <c r="F142" s="1"/>
      <c r="G142" s="1"/>
      <c r="H142" s="1"/>
    </row>
    <row r="143" spans="1:8" s="65" customFormat="1">
      <c r="A143" s="4"/>
      <c r="C143" s="175"/>
      <c r="E143" s="179"/>
      <c r="F143" s="1"/>
      <c r="G143" s="1"/>
      <c r="H143" s="1"/>
    </row>
    <row r="144" spans="1:8" s="65" customFormat="1">
      <c r="A144" s="4"/>
      <c r="C144" s="175"/>
      <c r="E144" s="179"/>
      <c r="F144" s="1"/>
      <c r="G144" s="1"/>
      <c r="H144" s="1"/>
    </row>
    <row r="145" spans="1:8" s="65" customFormat="1">
      <c r="A145" s="4"/>
      <c r="C145" s="175"/>
      <c r="E145" s="179"/>
      <c r="F145" s="1"/>
      <c r="G145" s="1"/>
      <c r="H145" s="1"/>
    </row>
    <row r="146" spans="1:8" s="65" customFormat="1">
      <c r="A146" s="4"/>
      <c r="C146" s="175"/>
      <c r="E146" s="179"/>
      <c r="F146" s="1"/>
      <c r="G146" s="1"/>
      <c r="H146" s="1"/>
    </row>
    <row r="147" spans="1:8" s="65" customFormat="1">
      <c r="A147" s="4"/>
      <c r="C147" s="175"/>
      <c r="E147" s="179"/>
      <c r="F147" s="1"/>
      <c r="G147" s="1"/>
      <c r="H147" s="1"/>
    </row>
    <row r="148" spans="1:8" s="65" customFormat="1">
      <c r="A148" s="4"/>
      <c r="C148" s="175"/>
      <c r="E148" s="179"/>
      <c r="F148" s="1"/>
      <c r="G148" s="1"/>
      <c r="H148" s="1"/>
    </row>
    <row r="149" spans="1:8" s="65" customFormat="1">
      <c r="A149" s="4"/>
      <c r="C149" s="175"/>
      <c r="E149" s="179"/>
      <c r="F149" s="1"/>
      <c r="G149" s="1"/>
      <c r="H149" s="1"/>
    </row>
    <row r="150" spans="1:8" s="65" customFormat="1">
      <c r="A150" s="4"/>
      <c r="C150" s="175"/>
      <c r="E150" s="179"/>
      <c r="F150" s="1"/>
      <c r="G150" s="1"/>
      <c r="H150" s="1"/>
    </row>
    <row r="151" spans="1:8" s="65" customFormat="1">
      <c r="A151" s="4"/>
      <c r="C151" s="175"/>
      <c r="E151" s="179"/>
      <c r="F151" s="1"/>
      <c r="G151" s="1"/>
      <c r="H151" s="1"/>
    </row>
    <row r="152" spans="1:8" s="65" customFormat="1">
      <c r="A152" s="4"/>
      <c r="C152" s="175"/>
      <c r="E152" s="179"/>
      <c r="F152" s="1"/>
      <c r="G152" s="1"/>
      <c r="H152" s="1"/>
    </row>
    <row r="153" spans="1:8" s="65" customFormat="1">
      <c r="A153" s="4"/>
      <c r="C153" s="175"/>
      <c r="E153" s="179"/>
      <c r="F153" s="1"/>
      <c r="G153" s="1"/>
      <c r="H153" s="1"/>
    </row>
    <row r="154" spans="1:8" s="65" customFormat="1">
      <c r="A154" s="4"/>
      <c r="C154" s="175"/>
      <c r="E154" s="179"/>
      <c r="F154" s="1"/>
      <c r="G154" s="1"/>
      <c r="H154" s="1"/>
    </row>
    <row r="155" spans="1:8" s="65" customFormat="1">
      <c r="A155" s="4"/>
      <c r="C155" s="175"/>
      <c r="E155" s="179"/>
      <c r="F155" s="1"/>
      <c r="G155" s="1"/>
      <c r="H155" s="1"/>
    </row>
    <row r="156" spans="1:8" s="65" customFormat="1">
      <c r="A156" s="4"/>
      <c r="C156" s="175"/>
      <c r="E156" s="179"/>
      <c r="F156" s="1"/>
      <c r="G156" s="1"/>
      <c r="H156" s="1"/>
    </row>
    <row r="157" spans="1:8" s="65" customFormat="1">
      <c r="A157" s="4"/>
      <c r="C157" s="175"/>
      <c r="E157" s="179"/>
      <c r="F157" s="1"/>
      <c r="G157" s="1"/>
      <c r="H157" s="1"/>
    </row>
    <row r="158" spans="1:8" s="65" customFormat="1">
      <c r="A158" s="4"/>
      <c r="C158" s="175"/>
      <c r="E158" s="179"/>
      <c r="F158" s="1"/>
      <c r="G158" s="1"/>
      <c r="H158" s="1"/>
    </row>
    <row r="159" spans="1:8" s="65" customFormat="1">
      <c r="A159" s="4"/>
      <c r="C159" s="175"/>
      <c r="E159" s="179"/>
      <c r="F159" s="1"/>
      <c r="G159" s="1"/>
      <c r="H159" s="1"/>
    </row>
    <row r="160" spans="1:8" s="65" customFormat="1">
      <c r="A160" s="4"/>
      <c r="C160" s="175"/>
      <c r="E160" s="179"/>
      <c r="F160" s="1"/>
      <c r="G160" s="1"/>
      <c r="H160" s="1"/>
    </row>
    <row r="161" spans="1:8" s="65" customFormat="1">
      <c r="A161" s="4"/>
      <c r="C161" s="175"/>
      <c r="E161" s="179"/>
      <c r="F161" s="1"/>
      <c r="G161" s="1"/>
      <c r="H161" s="1"/>
    </row>
    <row r="162" spans="1:8" s="65" customFormat="1">
      <c r="A162" s="4"/>
      <c r="C162" s="175"/>
      <c r="E162" s="179"/>
      <c r="F162" s="1"/>
      <c r="G162" s="1"/>
      <c r="H162" s="1"/>
    </row>
    <row r="163" spans="1:8" s="65" customFormat="1">
      <c r="A163" s="4"/>
      <c r="C163" s="175"/>
      <c r="E163" s="179"/>
      <c r="F163" s="1"/>
      <c r="G163" s="1"/>
      <c r="H163" s="1"/>
    </row>
    <row r="164" spans="1:8" s="65" customFormat="1">
      <c r="A164" s="4"/>
      <c r="C164" s="175"/>
      <c r="E164" s="179"/>
      <c r="F164" s="1"/>
      <c r="G164" s="1"/>
      <c r="H164" s="1"/>
    </row>
    <row r="165" spans="1:8" s="65" customFormat="1">
      <c r="A165" s="4"/>
      <c r="C165" s="175"/>
      <c r="E165" s="179"/>
      <c r="F165" s="1"/>
      <c r="G165" s="1"/>
      <c r="H165" s="1"/>
    </row>
    <row r="166" spans="1:8" s="65" customFormat="1">
      <c r="A166" s="4"/>
      <c r="C166" s="175"/>
      <c r="E166" s="179"/>
      <c r="F166" s="1"/>
      <c r="G166" s="1"/>
      <c r="H166" s="1"/>
    </row>
    <row r="167" spans="1:8" s="65" customFormat="1">
      <c r="A167" s="4"/>
      <c r="C167" s="175"/>
      <c r="E167" s="179"/>
      <c r="F167" s="1"/>
      <c r="G167" s="1"/>
      <c r="H167" s="1"/>
    </row>
    <row r="168" spans="1:8" s="65" customFormat="1">
      <c r="A168" s="4"/>
      <c r="C168" s="175"/>
      <c r="E168" s="179"/>
      <c r="F168" s="1"/>
      <c r="G168" s="1"/>
      <c r="H168" s="1"/>
    </row>
    <row r="169" spans="1:8" s="65" customFormat="1">
      <c r="A169" s="4"/>
      <c r="C169" s="175"/>
      <c r="E169" s="179"/>
      <c r="F169" s="1"/>
      <c r="G169" s="1"/>
      <c r="H169" s="1"/>
    </row>
    <row r="170" spans="1:8" s="65" customFormat="1">
      <c r="A170" s="4"/>
      <c r="C170" s="175"/>
      <c r="E170" s="179"/>
      <c r="F170" s="1"/>
      <c r="G170" s="1"/>
      <c r="H170" s="1"/>
    </row>
    <row r="171" spans="1:8" s="65" customFormat="1">
      <c r="A171" s="4"/>
      <c r="C171" s="175"/>
      <c r="E171" s="179"/>
      <c r="F171" s="1"/>
      <c r="G171" s="1"/>
      <c r="H171" s="1"/>
    </row>
    <row r="172" spans="1:8" s="65" customFormat="1">
      <c r="A172" s="4"/>
      <c r="C172" s="175"/>
      <c r="E172" s="179"/>
      <c r="F172" s="1"/>
      <c r="G172" s="1"/>
      <c r="H172" s="1"/>
    </row>
    <row r="173" spans="1:8" s="65" customFormat="1">
      <c r="A173" s="4"/>
      <c r="C173" s="175"/>
      <c r="E173" s="179"/>
      <c r="F173" s="1"/>
      <c r="G173" s="1"/>
      <c r="H173" s="1"/>
    </row>
    <row r="174" spans="1:8" s="65" customFormat="1">
      <c r="A174" s="4"/>
      <c r="C174" s="175"/>
      <c r="E174" s="179"/>
      <c r="F174" s="1"/>
      <c r="G174" s="1"/>
      <c r="H174" s="1"/>
    </row>
    <row r="175" spans="1:8" s="65" customFormat="1">
      <c r="A175" s="4"/>
      <c r="C175" s="175"/>
      <c r="E175" s="179"/>
      <c r="F175" s="1"/>
      <c r="G175" s="1"/>
      <c r="H175" s="1"/>
    </row>
    <row r="176" spans="1:8" s="65" customFormat="1">
      <c r="A176" s="4"/>
      <c r="C176" s="175"/>
      <c r="E176" s="179"/>
      <c r="F176" s="1"/>
      <c r="G176" s="1"/>
      <c r="H176" s="1"/>
    </row>
    <row r="177" spans="1:8" s="65" customFormat="1">
      <c r="A177" s="4"/>
      <c r="C177" s="175"/>
      <c r="E177" s="179"/>
      <c r="F177" s="1"/>
      <c r="G177" s="1"/>
      <c r="H177" s="1"/>
    </row>
    <row r="178" spans="1:8" s="65" customFormat="1">
      <c r="A178" s="4"/>
      <c r="C178" s="175"/>
      <c r="E178" s="179"/>
      <c r="F178" s="1"/>
      <c r="G178" s="1"/>
      <c r="H178" s="1"/>
    </row>
    <row r="179" spans="1:8" s="65" customFormat="1">
      <c r="A179" s="4"/>
      <c r="C179" s="175"/>
      <c r="E179" s="179"/>
      <c r="F179" s="1"/>
      <c r="G179" s="1"/>
      <c r="H179" s="1"/>
    </row>
    <row r="180" spans="1:8" s="65" customFormat="1">
      <c r="A180" s="4"/>
      <c r="C180" s="175"/>
      <c r="E180" s="179"/>
      <c r="F180" s="1"/>
      <c r="G180" s="1"/>
      <c r="H180" s="1"/>
    </row>
    <row r="181" spans="1:8" s="65" customFormat="1">
      <c r="A181" s="4"/>
      <c r="C181" s="175"/>
      <c r="E181" s="179"/>
      <c r="F181" s="1"/>
      <c r="G181" s="1"/>
      <c r="H181" s="1"/>
    </row>
    <row r="182" spans="1:8" s="65" customFormat="1">
      <c r="A182" s="4"/>
      <c r="C182" s="175"/>
      <c r="E182" s="179"/>
      <c r="F182" s="1"/>
      <c r="G182" s="1"/>
      <c r="H182" s="1"/>
    </row>
    <row r="183" spans="1:8" s="65" customFormat="1">
      <c r="A183" s="4"/>
      <c r="C183" s="175"/>
      <c r="E183" s="179"/>
      <c r="F183" s="1"/>
      <c r="G183" s="1"/>
      <c r="H183" s="1"/>
    </row>
    <row r="184" spans="1:8" s="65" customFormat="1">
      <c r="A184" s="4"/>
      <c r="C184" s="175"/>
      <c r="E184" s="179"/>
      <c r="F184" s="1"/>
      <c r="G184" s="1"/>
      <c r="H184" s="1"/>
    </row>
    <row r="185" spans="1:8" s="65" customFormat="1">
      <c r="A185" s="4"/>
      <c r="C185" s="175"/>
      <c r="E185" s="179"/>
      <c r="F185" s="1"/>
      <c r="G185" s="1"/>
      <c r="H185" s="1"/>
    </row>
    <row r="186" spans="1:8" s="65" customFormat="1">
      <c r="A186" s="4"/>
      <c r="C186" s="175"/>
      <c r="E186" s="179"/>
      <c r="F186" s="1"/>
      <c r="G186" s="1"/>
      <c r="H186" s="1"/>
    </row>
    <row r="187" spans="1:8" s="65" customFormat="1">
      <c r="A187" s="4"/>
      <c r="C187" s="175"/>
      <c r="E187" s="179"/>
      <c r="F187" s="1"/>
      <c r="G187" s="1"/>
      <c r="H187" s="1"/>
    </row>
    <row r="188" spans="1:8" s="65" customFormat="1">
      <c r="A188" s="4"/>
      <c r="C188" s="175"/>
      <c r="E188" s="179"/>
      <c r="F188" s="1"/>
      <c r="G188" s="1"/>
      <c r="H188" s="1"/>
    </row>
    <row r="189" spans="1:8" s="65" customFormat="1">
      <c r="A189" s="4"/>
      <c r="C189" s="175"/>
      <c r="E189" s="179"/>
      <c r="F189" s="1"/>
      <c r="G189" s="1"/>
      <c r="H189" s="1"/>
    </row>
    <row r="190" spans="1:8" s="65" customFormat="1">
      <c r="A190" s="4"/>
      <c r="C190" s="175"/>
      <c r="E190" s="179"/>
      <c r="F190" s="1"/>
      <c r="G190" s="1"/>
      <c r="H190" s="1"/>
    </row>
    <row r="191" spans="1:8" s="65" customFormat="1">
      <c r="A191" s="4"/>
      <c r="C191" s="175"/>
      <c r="E191" s="179"/>
      <c r="F191" s="1"/>
      <c r="G191" s="1"/>
      <c r="H191" s="1"/>
    </row>
    <row r="192" spans="1:8" s="65" customFormat="1">
      <c r="A192" s="4"/>
      <c r="C192" s="175"/>
      <c r="E192" s="179"/>
      <c r="F192" s="1"/>
      <c r="G192" s="1"/>
      <c r="H192" s="1"/>
    </row>
    <row r="193" spans="1:8" s="65" customFormat="1">
      <c r="A193" s="4"/>
      <c r="C193" s="175"/>
      <c r="E193" s="179"/>
      <c r="F193" s="1"/>
      <c r="G193" s="1"/>
      <c r="H193" s="1"/>
    </row>
    <row r="194" spans="1:8" s="65" customFormat="1">
      <c r="A194" s="4"/>
      <c r="C194" s="175"/>
      <c r="E194" s="179"/>
      <c r="F194" s="1"/>
      <c r="G194" s="1"/>
      <c r="H194" s="1"/>
    </row>
    <row r="195" spans="1:8" s="65" customFormat="1">
      <c r="A195" s="4"/>
      <c r="C195" s="175"/>
      <c r="E195" s="179"/>
      <c r="F195" s="1"/>
      <c r="G195" s="1"/>
      <c r="H195" s="1"/>
    </row>
    <row r="196" spans="1:8" s="65" customFormat="1">
      <c r="A196" s="4"/>
      <c r="C196" s="175"/>
      <c r="E196" s="179"/>
      <c r="F196" s="1"/>
      <c r="G196" s="1"/>
      <c r="H196" s="1"/>
    </row>
    <row r="197" spans="1:8" s="65" customFormat="1">
      <c r="A197" s="4"/>
      <c r="C197" s="175"/>
      <c r="E197" s="179"/>
      <c r="F197" s="1"/>
      <c r="G197" s="1"/>
      <c r="H197" s="1"/>
    </row>
    <row r="198" spans="1:8" s="65" customFormat="1">
      <c r="A198" s="4"/>
      <c r="C198" s="175"/>
      <c r="E198" s="179"/>
      <c r="F198" s="1"/>
      <c r="G198" s="1"/>
      <c r="H198" s="1"/>
    </row>
    <row r="199" spans="1:8" s="65" customFormat="1">
      <c r="A199" s="4"/>
      <c r="C199" s="175"/>
      <c r="E199" s="179"/>
      <c r="F199" s="1"/>
      <c r="G199" s="1"/>
      <c r="H199" s="1"/>
    </row>
    <row r="200" spans="1:8" s="65" customFormat="1">
      <c r="A200" s="4"/>
      <c r="C200" s="175"/>
      <c r="E200" s="179"/>
      <c r="F200" s="1"/>
      <c r="G200" s="1"/>
      <c r="H200" s="1"/>
    </row>
    <row r="201" spans="1:8" s="65" customFormat="1">
      <c r="A201" s="4"/>
      <c r="C201" s="175"/>
      <c r="E201" s="179"/>
      <c r="F201" s="1"/>
      <c r="G201" s="1"/>
      <c r="H201" s="1"/>
    </row>
    <row r="202" spans="1:8" s="65" customFormat="1">
      <c r="A202" s="4"/>
      <c r="C202" s="175"/>
      <c r="E202" s="179"/>
      <c r="F202" s="1"/>
      <c r="G202" s="1"/>
      <c r="H202" s="1"/>
    </row>
    <row r="203" spans="1:8" s="65" customFormat="1">
      <c r="A203" s="4"/>
      <c r="C203" s="175"/>
      <c r="E203" s="179"/>
      <c r="F203" s="1"/>
      <c r="G203" s="1"/>
      <c r="H203" s="1"/>
    </row>
    <row r="204" spans="1:8" s="65" customFormat="1">
      <c r="A204" s="4"/>
      <c r="C204" s="175"/>
      <c r="E204" s="179"/>
      <c r="F204" s="1"/>
      <c r="G204" s="1"/>
      <c r="H204" s="1"/>
    </row>
    <row r="205" spans="1:8" s="65" customFormat="1">
      <c r="A205" s="4"/>
      <c r="C205" s="175"/>
      <c r="E205" s="179"/>
      <c r="F205" s="1"/>
      <c r="G205" s="1"/>
      <c r="H205" s="1"/>
    </row>
    <row r="206" spans="1:8" s="65" customFormat="1">
      <c r="A206" s="4"/>
      <c r="C206" s="175"/>
      <c r="E206" s="179"/>
      <c r="F206" s="1"/>
      <c r="G206" s="1"/>
      <c r="H206" s="1"/>
    </row>
    <row r="207" spans="1:8" s="65" customFormat="1">
      <c r="A207" s="4"/>
      <c r="C207" s="175"/>
      <c r="E207" s="179"/>
      <c r="F207" s="1"/>
      <c r="G207" s="1"/>
      <c r="H207" s="1"/>
    </row>
    <row r="208" spans="1:8" s="65" customFormat="1">
      <c r="A208" s="4"/>
      <c r="C208" s="175"/>
      <c r="E208" s="179"/>
      <c r="F208" s="1"/>
      <c r="G208" s="1"/>
      <c r="H208" s="1"/>
    </row>
    <row r="209" spans="1:8" s="65" customFormat="1">
      <c r="A209" s="4"/>
      <c r="C209" s="175"/>
      <c r="E209" s="179"/>
      <c r="F209" s="1"/>
      <c r="G209" s="1"/>
      <c r="H209" s="1"/>
    </row>
    <row r="210" spans="1:8" s="65" customFormat="1">
      <c r="A210" s="4"/>
      <c r="C210" s="175"/>
      <c r="E210" s="179"/>
      <c r="F210" s="1"/>
      <c r="G210" s="1"/>
      <c r="H210" s="1"/>
    </row>
    <row r="211" spans="1:8" s="65" customFormat="1">
      <c r="A211" s="4"/>
      <c r="C211" s="175"/>
      <c r="E211" s="179"/>
      <c r="F211" s="1"/>
      <c r="G211" s="1"/>
      <c r="H211" s="1"/>
    </row>
    <row r="212" spans="1:8" s="65" customFormat="1">
      <c r="A212" s="4"/>
      <c r="C212" s="175"/>
      <c r="E212" s="179"/>
      <c r="F212" s="1"/>
      <c r="G212" s="1"/>
      <c r="H212" s="1"/>
    </row>
    <row r="213" spans="1:8" s="65" customFormat="1">
      <c r="A213" s="4"/>
      <c r="C213" s="175"/>
      <c r="E213" s="179"/>
      <c r="F213" s="1"/>
      <c r="G213" s="1"/>
      <c r="H213" s="1"/>
    </row>
    <row r="214" spans="1:8" s="65" customFormat="1">
      <c r="A214" s="4"/>
      <c r="C214" s="175"/>
      <c r="E214" s="179"/>
      <c r="F214" s="1"/>
      <c r="G214" s="1"/>
      <c r="H214" s="1"/>
    </row>
    <row r="215" spans="1:8" s="65" customFormat="1">
      <c r="A215" s="4"/>
      <c r="C215" s="175"/>
      <c r="E215" s="179"/>
      <c r="F215" s="1"/>
      <c r="G215" s="1"/>
      <c r="H215" s="1"/>
    </row>
    <row r="216" spans="1:8" s="65" customFormat="1">
      <c r="A216" s="4"/>
      <c r="C216" s="175"/>
      <c r="E216" s="179"/>
      <c r="F216" s="1"/>
      <c r="G216" s="1"/>
      <c r="H216" s="1"/>
    </row>
    <row r="217" spans="1:8" s="65" customFormat="1">
      <c r="A217" s="4"/>
      <c r="C217" s="175"/>
      <c r="E217" s="179"/>
      <c r="F217" s="1"/>
      <c r="G217" s="1"/>
      <c r="H217" s="1"/>
    </row>
    <row r="218" spans="1:8" s="65" customFormat="1">
      <c r="A218" s="4"/>
      <c r="C218" s="175"/>
      <c r="E218" s="179"/>
      <c r="F218" s="1"/>
      <c r="G218" s="1"/>
      <c r="H218" s="1"/>
    </row>
    <row r="219" spans="1:8" s="65" customFormat="1">
      <c r="A219" s="4"/>
      <c r="C219" s="175"/>
      <c r="E219" s="179"/>
      <c r="F219" s="1"/>
      <c r="G219" s="1"/>
      <c r="H219" s="1"/>
    </row>
    <row r="220" spans="1:8" s="65" customFormat="1">
      <c r="A220" s="4"/>
      <c r="C220" s="175"/>
      <c r="E220" s="179"/>
      <c r="F220" s="1"/>
      <c r="G220" s="1"/>
      <c r="H220" s="1"/>
    </row>
    <row r="221" spans="1:8" s="65" customFormat="1">
      <c r="A221" s="4"/>
      <c r="C221" s="175"/>
      <c r="E221" s="179"/>
      <c r="F221" s="1"/>
      <c r="G221" s="1"/>
      <c r="H221" s="1"/>
    </row>
    <row r="222" spans="1:8" s="65" customFormat="1">
      <c r="A222" s="4"/>
      <c r="C222" s="175"/>
      <c r="E222" s="179"/>
      <c r="F222" s="1"/>
      <c r="G222" s="1"/>
      <c r="H222" s="1"/>
    </row>
    <row r="223" spans="1:8" s="65" customFormat="1">
      <c r="A223" s="4"/>
      <c r="C223" s="175"/>
      <c r="E223" s="179"/>
      <c r="F223" s="1"/>
      <c r="G223" s="1"/>
      <c r="H223" s="1"/>
    </row>
    <row r="224" spans="1:8" s="65" customFormat="1">
      <c r="A224" s="4"/>
      <c r="C224" s="175"/>
      <c r="E224" s="179"/>
      <c r="F224" s="1"/>
      <c r="G224" s="1"/>
      <c r="H224" s="1"/>
    </row>
    <row r="225" spans="1:8" s="65" customFormat="1">
      <c r="A225" s="4"/>
      <c r="C225" s="175"/>
      <c r="E225" s="179"/>
      <c r="F225" s="1"/>
      <c r="G225" s="1"/>
      <c r="H225" s="1"/>
    </row>
    <row r="226" spans="1:8" s="65" customFormat="1">
      <c r="A226" s="4"/>
      <c r="C226" s="175"/>
      <c r="E226" s="179"/>
      <c r="F226" s="1"/>
      <c r="G226" s="1"/>
      <c r="H226" s="1"/>
    </row>
    <row r="227" spans="1:8" s="65" customFormat="1">
      <c r="A227" s="4"/>
      <c r="C227" s="175"/>
      <c r="E227" s="179"/>
      <c r="F227" s="1"/>
      <c r="G227" s="1"/>
      <c r="H227" s="1"/>
    </row>
    <row r="228" spans="1:8" s="65" customFormat="1">
      <c r="A228" s="4"/>
      <c r="C228" s="175"/>
      <c r="E228" s="179"/>
      <c r="F228" s="1"/>
      <c r="G228" s="1"/>
      <c r="H228" s="1"/>
    </row>
    <row r="229" spans="1:8" s="65" customFormat="1">
      <c r="A229" s="4"/>
      <c r="C229" s="175"/>
      <c r="E229" s="179"/>
      <c r="F229" s="1"/>
      <c r="G229" s="1"/>
      <c r="H229" s="1"/>
    </row>
    <row r="230" spans="1:8" s="65" customFormat="1">
      <c r="A230" s="4"/>
      <c r="C230" s="175"/>
      <c r="E230" s="179"/>
      <c r="F230" s="1"/>
      <c r="G230" s="1"/>
      <c r="H230" s="1"/>
    </row>
    <row r="231" spans="1:8" s="65" customFormat="1">
      <c r="A231" s="4"/>
      <c r="C231" s="175"/>
      <c r="E231" s="179"/>
      <c r="F231" s="1"/>
      <c r="G231" s="1"/>
      <c r="H231" s="1"/>
    </row>
    <row r="232" spans="1:8" s="65" customFormat="1">
      <c r="A232" s="4"/>
      <c r="C232" s="175"/>
      <c r="E232" s="179"/>
      <c r="F232" s="1"/>
      <c r="G232" s="1"/>
      <c r="H232" s="1"/>
    </row>
    <row r="233" spans="1:8" s="65" customFormat="1">
      <c r="A233" s="4"/>
      <c r="C233" s="175"/>
      <c r="E233" s="179"/>
      <c r="F233" s="1"/>
      <c r="G233" s="1"/>
      <c r="H233" s="1"/>
    </row>
    <row r="234" spans="1:8" s="65" customFormat="1">
      <c r="A234" s="4"/>
      <c r="C234" s="175"/>
      <c r="E234" s="179"/>
      <c r="F234" s="1"/>
      <c r="G234" s="1"/>
      <c r="H234" s="1"/>
    </row>
    <row r="235" spans="1:8" s="65" customFormat="1">
      <c r="A235" s="4"/>
      <c r="C235" s="175"/>
      <c r="E235" s="179"/>
      <c r="F235" s="1"/>
      <c r="G235" s="1"/>
      <c r="H235" s="1"/>
    </row>
    <row r="236" spans="1:8" s="65" customFormat="1">
      <c r="A236" s="4"/>
      <c r="C236" s="175"/>
      <c r="E236" s="179"/>
      <c r="F236" s="1"/>
      <c r="G236" s="1"/>
      <c r="H236" s="1"/>
    </row>
    <row r="237" spans="1:8" s="65" customFormat="1">
      <c r="A237" s="4"/>
      <c r="C237" s="175"/>
      <c r="E237" s="179"/>
      <c r="F237" s="1"/>
      <c r="G237" s="1"/>
      <c r="H237" s="1"/>
    </row>
    <row r="238" spans="1:8" s="65" customFormat="1">
      <c r="A238" s="4"/>
      <c r="C238" s="175"/>
      <c r="E238" s="179"/>
      <c r="F238" s="1"/>
      <c r="G238" s="1"/>
      <c r="H238" s="1"/>
    </row>
    <row r="239" spans="1:8" s="65" customFormat="1">
      <c r="A239" s="4"/>
      <c r="C239" s="175"/>
      <c r="E239" s="179"/>
      <c r="F239" s="1"/>
      <c r="G239" s="1"/>
      <c r="H239" s="1"/>
    </row>
    <row r="240" spans="1:8" s="65" customFormat="1">
      <c r="A240" s="4"/>
      <c r="C240" s="175"/>
      <c r="E240" s="179"/>
      <c r="F240" s="1"/>
      <c r="G240" s="1"/>
      <c r="H240" s="1"/>
    </row>
    <row r="241" spans="1:8" s="65" customFormat="1">
      <c r="A241" s="4"/>
      <c r="C241" s="175"/>
      <c r="E241" s="179"/>
      <c r="F241" s="1"/>
      <c r="G241" s="1"/>
      <c r="H241" s="1"/>
    </row>
    <row r="242" spans="1:8" s="65" customFormat="1">
      <c r="A242" s="4"/>
      <c r="C242" s="175"/>
      <c r="E242" s="179"/>
      <c r="F242" s="1"/>
      <c r="G242" s="1"/>
      <c r="H242" s="1"/>
    </row>
    <row r="243" spans="1:8" s="65" customFormat="1">
      <c r="A243" s="4"/>
      <c r="C243" s="175"/>
      <c r="E243" s="179"/>
      <c r="F243" s="1"/>
      <c r="G243" s="1"/>
      <c r="H243" s="1"/>
    </row>
    <row r="244" spans="1:8" s="65" customFormat="1">
      <c r="A244" s="4"/>
      <c r="C244" s="175"/>
      <c r="E244" s="179"/>
      <c r="F244" s="1"/>
      <c r="G244" s="1"/>
      <c r="H244" s="1"/>
    </row>
    <row r="245" spans="1:8" s="65" customFormat="1">
      <c r="A245" s="4"/>
      <c r="C245" s="175"/>
      <c r="E245" s="179"/>
      <c r="F245" s="1"/>
      <c r="G245" s="1"/>
      <c r="H245" s="1"/>
    </row>
    <row r="246" spans="1:8" s="65" customFormat="1">
      <c r="A246" s="4"/>
      <c r="C246" s="175"/>
      <c r="E246" s="179"/>
      <c r="F246" s="1"/>
      <c r="G246" s="1"/>
      <c r="H246" s="1"/>
    </row>
    <row r="247" spans="1:8" s="65" customFormat="1">
      <c r="A247" s="4"/>
      <c r="C247" s="175"/>
      <c r="E247" s="179"/>
      <c r="F247" s="1"/>
      <c r="G247" s="1"/>
      <c r="H247" s="1"/>
    </row>
    <row r="248" spans="1:8" s="65" customFormat="1">
      <c r="A248" s="4"/>
      <c r="C248" s="175"/>
      <c r="E248" s="179"/>
      <c r="F248" s="1"/>
      <c r="G248" s="1"/>
      <c r="H248" s="1"/>
    </row>
    <row r="249" spans="1:8" s="65" customFormat="1">
      <c r="A249" s="4"/>
      <c r="C249" s="175"/>
      <c r="E249" s="179"/>
      <c r="F249" s="1"/>
      <c r="G249" s="1"/>
      <c r="H249" s="1"/>
    </row>
  </sheetData>
  <mergeCells count="22">
    <mergeCell ref="A2:H2"/>
    <mergeCell ref="A1:H1"/>
    <mergeCell ref="A51:H51"/>
    <mergeCell ref="A69:H69"/>
    <mergeCell ref="A4:A5"/>
    <mergeCell ref="B4:B5"/>
    <mergeCell ref="A7:H7"/>
    <mergeCell ref="E4:H4"/>
    <mergeCell ref="C4:D4"/>
    <mergeCell ref="A44:H44"/>
    <mergeCell ref="G98:H98"/>
    <mergeCell ref="G97:H97"/>
    <mergeCell ref="A78:H78"/>
    <mergeCell ref="C79:D79"/>
    <mergeCell ref="E79:E80"/>
    <mergeCell ref="F79:F80"/>
    <mergeCell ref="G79:G80"/>
    <mergeCell ref="H79:H80"/>
    <mergeCell ref="A79:A80"/>
    <mergeCell ref="B79:B80"/>
    <mergeCell ref="D97:E97"/>
    <mergeCell ref="D98:E98"/>
  </mergeCells>
  <phoneticPr fontId="3" type="noConversion"/>
  <printOptions horizontalCentered="1"/>
  <pageMargins left="0.39370078740157483" right="0.39370078740157483" top="0.78740157480314965" bottom="0.39370078740157483" header="0.39370078740157483" footer="0.19685039370078741"/>
  <pageSetup paperSize="9" scale="78" fitToHeight="6" orientation="landscape" verticalDpi="300" r:id="rId1"/>
  <headerFooter alignWithMargins="0"/>
  <ignoredErrors>
    <ignoredError sqref="B81:B8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</sheetPr>
  <dimension ref="A1:J204"/>
  <sheetViews>
    <sheetView view="pageBreakPreview" topLeftCell="A13" zoomScale="80" zoomScaleSheetLayoutView="80" workbookViewId="0">
      <selection activeCell="F23" sqref="F23"/>
    </sheetView>
  </sheetViews>
  <sheetFormatPr defaultRowHeight="18.75"/>
  <cols>
    <col min="1" max="1" width="4" style="160" customWidth="1"/>
    <col min="2" max="2" width="58.5703125" style="160" customWidth="1"/>
    <col min="3" max="3" width="8.7109375" style="165" customWidth="1"/>
    <col min="4" max="4" width="15.42578125" style="176" customWidth="1"/>
    <col min="5" max="5" width="15.42578125" style="182" customWidth="1"/>
    <col min="6" max="6" width="16.42578125" style="165" customWidth="1"/>
    <col min="7" max="7" width="14.5703125" style="161" customWidth="1"/>
    <col min="8" max="8" width="15.28515625" style="161" customWidth="1"/>
    <col min="9" max="9" width="16.85546875" style="160" customWidth="1"/>
    <col min="10" max="10" width="13" style="160" customWidth="1"/>
    <col min="11" max="11" width="11.85546875" style="160" customWidth="1"/>
    <col min="12" max="16384" width="9.140625" style="160"/>
  </cols>
  <sheetData>
    <row r="1" spans="1:10" ht="29.25" customHeight="1">
      <c r="A1" s="286" t="s">
        <v>84</v>
      </c>
      <c r="B1" s="286"/>
      <c r="C1" s="286"/>
      <c r="D1" s="286"/>
      <c r="E1" s="286"/>
      <c r="F1" s="286"/>
      <c r="G1" s="286"/>
      <c r="H1" s="286"/>
    </row>
    <row r="2" spans="1:10">
      <c r="A2" s="5"/>
      <c r="B2" s="206"/>
      <c r="C2" s="239"/>
      <c r="D2" s="237"/>
      <c r="E2" s="237"/>
      <c r="F2" s="237"/>
      <c r="G2" s="207"/>
      <c r="H2" s="207" t="s">
        <v>59</v>
      </c>
    </row>
    <row r="3" spans="1:10" s="161" customFormat="1" ht="60.75" customHeight="1">
      <c r="A3" s="29" t="s">
        <v>6</v>
      </c>
      <c r="B3" s="9" t="s">
        <v>20</v>
      </c>
      <c r="C3" s="29" t="s">
        <v>4</v>
      </c>
      <c r="D3" s="11" t="s">
        <v>247</v>
      </c>
      <c r="E3" s="10" t="s">
        <v>299</v>
      </c>
      <c r="F3" s="11" t="s">
        <v>300</v>
      </c>
      <c r="G3" s="11" t="s">
        <v>182</v>
      </c>
      <c r="H3" s="11" t="s">
        <v>183</v>
      </c>
    </row>
    <row r="4" spans="1:10" ht="19.5" customHeight="1">
      <c r="A4" s="20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159">
        <v>7</v>
      </c>
      <c r="H4" s="11">
        <v>8</v>
      </c>
    </row>
    <row r="5" spans="1:10" ht="27.75" customHeight="1">
      <c r="A5" s="289" t="s">
        <v>68</v>
      </c>
      <c r="B5" s="290"/>
      <c r="C5" s="9"/>
      <c r="D5" s="209">
        <f>D6+D12+D21+D23</f>
        <v>94548.300000000017</v>
      </c>
      <c r="E5" s="209">
        <f>E6+E12+E21+E23</f>
        <v>93674.5</v>
      </c>
      <c r="F5" s="209">
        <f>F6+F12+F21+F23</f>
        <v>104074.5</v>
      </c>
      <c r="G5" s="210">
        <f t="shared" ref="G5:G7" si="0">F5-E5</f>
        <v>10400</v>
      </c>
      <c r="H5" s="210">
        <f t="shared" ref="H5:H7" si="1">(F5/E5)*100</f>
        <v>111.10227436495524</v>
      </c>
      <c r="I5" s="162"/>
      <c r="J5" s="162"/>
    </row>
    <row r="6" spans="1:10" ht="42" customHeight="1">
      <c r="A6" s="281" t="s">
        <v>67</v>
      </c>
      <c r="B6" s="282"/>
      <c r="C6" s="13">
        <v>1000</v>
      </c>
      <c r="D6" s="199">
        <f>D7+D8+D9</f>
        <v>74991.900000000023</v>
      </c>
      <c r="E6" s="199">
        <f>E7+E8+E10+E11</f>
        <v>80682.7</v>
      </c>
      <c r="F6" s="199">
        <f>F7+F8+F9+F10+F11</f>
        <v>84836.599999999991</v>
      </c>
      <c r="G6" s="210">
        <f t="shared" si="0"/>
        <v>4153.8999999999942</v>
      </c>
      <c r="H6" s="210">
        <f t="shared" si="1"/>
        <v>105.14843950437948</v>
      </c>
    </row>
    <row r="7" spans="1:10" ht="39" customHeight="1">
      <c r="A7" s="208">
        <v>1</v>
      </c>
      <c r="B7" s="16" t="s">
        <v>106</v>
      </c>
      <c r="C7" s="9"/>
      <c r="D7" s="190">
        <f>74967.6-68.4</f>
        <v>74899.200000000012</v>
      </c>
      <c r="E7" s="211">
        <v>80361.899999999994</v>
      </c>
      <c r="F7" s="190">
        <v>84506.5</v>
      </c>
      <c r="G7" s="33">
        <f t="shared" si="0"/>
        <v>4144.6000000000058</v>
      </c>
      <c r="H7" s="33">
        <f t="shared" si="1"/>
        <v>105.15741912523224</v>
      </c>
    </row>
    <row r="8" spans="1:10" ht="57.75" customHeight="1">
      <c r="A8" s="208">
        <v>2</v>
      </c>
      <c r="B8" s="16" t="s">
        <v>197</v>
      </c>
      <c r="C8" s="13"/>
      <c r="D8" s="190">
        <f>7.7+68.4</f>
        <v>76.100000000000009</v>
      </c>
      <c r="E8" s="211">
        <v>28</v>
      </c>
      <c r="F8" s="190">
        <v>45.9</v>
      </c>
      <c r="G8" s="33">
        <f t="shared" ref="G8:G9" si="2">F8-E8</f>
        <v>17.899999999999999</v>
      </c>
      <c r="H8" s="210">
        <f t="shared" ref="H8:H9" si="3">(F8/E8)*100</f>
        <v>163.92857142857142</v>
      </c>
    </row>
    <row r="9" spans="1:10" ht="35.25" customHeight="1">
      <c r="A9" s="212">
        <v>3</v>
      </c>
      <c r="B9" s="16" t="s">
        <v>290</v>
      </c>
      <c r="C9" s="13"/>
      <c r="D9" s="190">
        <v>16.600000000000001</v>
      </c>
      <c r="E9" s="211"/>
      <c r="F9" s="190">
        <v>24</v>
      </c>
      <c r="G9" s="33">
        <f t="shared" si="2"/>
        <v>24</v>
      </c>
      <c r="H9" s="213" t="e">
        <f t="shared" si="3"/>
        <v>#DIV/0!</v>
      </c>
    </row>
    <row r="10" spans="1:10" ht="94.5" customHeight="1">
      <c r="A10" s="214" t="s">
        <v>302</v>
      </c>
      <c r="B10" s="28" t="s">
        <v>289</v>
      </c>
      <c r="C10" s="13"/>
      <c r="D10" s="190"/>
      <c r="E10" s="211">
        <v>292.8</v>
      </c>
      <c r="F10" s="190">
        <v>259.89999999999998</v>
      </c>
      <c r="G10" s="33">
        <f t="shared" ref="G10:G71" si="4">F10-E10</f>
        <v>-32.900000000000034</v>
      </c>
      <c r="H10" s="210">
        <f t="shared" ref="H10:H71" si="5">(F10/E10)*100</f>
        <v>88.763661202185787</v>
      </c>
    </row>
    <row r="11" spans="1:10" ht="27.75" customHeight="1">
      <c r="A11" s="214" t="s">
        <v>311</v>
      </c>
      <c r="B11" s="16" t="s">
        <v>335</v>
      </c>
      <c r="C11" s="13"/>
      <c r="D11" s="190"/>
      <c r="E11" s="211"/>
      <c r="F11" s="190">
        <v>0.3</v>
      </c>
      <c r="G11" s="33">
        <f t="shared" si="4"/>
        <v>0.3</v>
      </c>
      <c r="H11" s="213" t="e">
        <f t="shared" si="5"/>
        <v>#DIV/0!</v>
      </c>
    </row>
    <row r="12" spans="1:10" ht="30.75" customHeight="1">
      <c r="A12" s="281" t="s">
        <v>31</v>
      </c>
      <c r="B12" s="282"/>
      <c r="C12" s="13">
        <v>1040</v>
      </c>
      <c r="D12" s="199">
        <f>SUM(D13:D20)</f>
        <v>11747.3</v>
      </c>
      <c r="E12" s="199">
        <f>SUM(E13:E20)</f>
        <v>5401.2999999999993</v>
      </c>
      <c r="F12" s="199">
        <f>SUM(F13:F20)</f>
        <v>10561.7</v>
      </c>
      <c r="G12" s="210">
        <f t="shared" si="4"/>
        <v>5160.4000000000015</v>
      </c>
      <c r="H12" s="210">
        <f t="shared" si="5"/>
        <v>195.53996260159596</v>
      </c>
    </row>
    <row r="13" spans="1:10" ht="96" customHeight="1">
      <c r="A13" s="9">
        <v>1</v>
      </c>
      <c r="B13" s="28" t="s">
        <v>289</v>
      </c>
      <c r="C13" s="13"/>
      <c r="D13" s="190">
        <v>282.2</v>
      </c>
      <c r="E13" s="211"/>
      <c r="F13" s="190"/>
      <c r="G13" s="33">
        <f t="shared" si="4"/>
        <v>0</v>
      </c>
      <c r="H13" s="99" t="e">
        <f t="shared" si="5"/>
        <v>#DIV/0!</v>
      </c>
    </row>
    <row r="14" spans="1:10" ht="48" customHeight="1">
      <c r="A14" s="9">
        <v>2</v>
      </c>
      <c r="B14" s="215" t="s">
        <v>288</v>
      </c>
      <c r="C14" s="13"/>
      <c r="D14" s="190">
        <f>7881.4-282.2-11.3-4596.2</f>
        <v>2991.7</v>
      </c>
      <c r="E14" s="211"/>
      <c r="F14" s="190">
        <v>250.1</v>
      </c>
      <c r="G14" s="33">
        <f t="shared" si="4"/>
        <v>250.1</v>
      </c>
      <c r="H14" s="99" t="e">
        <f t="shared" si="5"/>
        <v>#DIV/0!</v>
      </c>
    </row>
    <row r="15" spans="1:10" ht="38.25" customHeight="1">
      <c r="A15" s="9">
        <v>3</v>
      </c>
      <c r="B15" s="16" t="s">
        <v>287</v>
      </c>
      <c r="C15" s="13"/>
      <c r="D15" s="190">
        <v>4596.2</v>
      </c>
      <c r="E15" s="211">
        <v>5316.9</v>
      </c>
      <c r="F15" s="190">
        <f>6413-250.1-8.1</f>
        <v>6154.7999999999993</v>
      </c>
      <c r="G15" s="33">
        <f t="shared" si="4"/>
        <v>837.89999999999964</v>
      </c>
      <c r="H15" s="33">
        <f t="shared" si="5"/>
        <v>115.75918298256502</v>
      </c>
    </row>
    <row r="16" spans="1:10" ht="24.75" customHeight="1">
      <c r="A16" s="9">
        <v>4</v>
      </c>
      <c r="B16" s="16" t="s">
        <v>198</v>
      </c>
      <c r="C16" s="13"/>
      <c r="D16" s="190">
        <f>56.9+11.3</f>
        <v>68.2</v>
      </c>
      <c r="E16" s="216">
        <v>81.400000000000006</v>
      </c>
      <c r="F16" s="190">
        <f>71.7+8.1</f>
        <v>79.8</v>
      </c>
      <c r="G16" s="33">
        <f t="shared" si="4"/>
        <v>-1.6000000000000085</v>
      </c>
      <c r="H16" s="33">
        <f t="shared" si="5"/>
        <v>98.034398034398023</v>
      </c>
    </row>
    <row r="17" spans="1:10" ht="24.75" customHeight="1">
      <c r="A17" s="9">
        <v>5</v>
      </c>
      <c r="B17" s="16" t="s">
        <v>153</v>
      </c>
      <c r="C17" s="13"/>
      <c r="D17" s="190"/>
      <c r="E17" s="211">
        <v>3</v>
      </c>
      <c r="F17" s="190">
        <v>0.7</v>
      </c>
      <c r="G17" s="33">
        <f t="shared" si="4"/>
        <v>-2.2999999999999998</v>
      </c>
      <c r="H17" s="33">
        <f t="shared" si="5"/>
        <v>23.333333333333332</v>
      </c>
    </row>
    <row r="18" spans="1:10" ht="24.75" customHeight="1">
      <c r="A18" s="9">
        <v>6</v>
      </c>
      <c r="B18" s="16" t="s">
        <v>285</v>
      </c>
      <c r="C18" s="13"/>
      <c r="D18" s="190">
        <v>12.4</v>
      </c>
      <c r="E18" s="211"/>
      <c r="F18" s="190"/>
      <c r="G18" s="33">
        <f t="shared" si="4"/>
        <v>0</v>
      </c>
      <c r="H18" s="99" t="e">
        <f t="shared" si="5"/>
        <v>#DIV/0!</v>
      </c>
    </row>
    <row r="19" spans="1:10" ht="24.75" customHeight="1">
      <c r="A19" s="9">
        <v>7</v>
      </c>
      <c r="B19" s="16" t="s">
        <v>286</v>
      </c>
      <c r="C19" s="13"/>
      <c r="D19" s="190">
        <v>462.1</v>
      </c>
      <c r="E19" s="211"/>
      <c r="F19" s="190">
        <v>300.10000000000002</v>
      </c>
      <c r="G19" s="33">
        <f t="shared" si="4"/>
        <v>300.10000000000002</v>
      </c>
      <c r="H19" s="99" t="e">
        <f t="shared" si="5"/>
        <v>#DIV/0!</v>
      </c>
    </row>
    <row r="20" spans="1:10" ht="27.75" customHeight="1">
      <c r="A20" s="9">
        <v>8</v>
      </c>
      <c r="B20" s="16" t="s">
        <v>245</v>
      </c>
      <c r="C20" s="13"/>
      <c r="D20" s="190">
        <f>3809-12.4-462.1</f>
        <v>3334.5</v>
      </c>
      <c r="E20" s="190"/>
      <c r="F20" s="190">
        <f>3776.2</f>
        <v>3776.2</v>
      </c>
      <c r="G20" s="33">
        <f t="shared" si="4"/>
        <v>3776.2</v>
      </c>
      <c r="H20" s="99" t="e">
        <f t="shared" si="5"/>
        <v>#DIV/0!</v>
      </c>
      <c r="J20" s="163"/>
    </row>
    <row r="21" spans="1:10" ht="26.25" customHeight="1">
      <c r="A21" s="291" t="s">
        <v>154</v>
      </c>
      <c r="B21" s="292"/>
      <c r="C21" s="13">
        <v>1130</v>
      </c>
      <c r="D21" s="199">
        <f>D22</f>
        <v>987.7</v>
      </c>
      <c r="E21" s="199">
        <f>E22</f>
        <v>240.5</v>
      </c>
      <c r="F21" s="199">
        <f>F22</f>
        <v>534.6</v>
      </c>
      <c r="G21" s="210">
        <f t="shared" si="4"/>
        <v>294.10000000000002</v>
      </c>
      <c r="H21" s="210">
        <f t="shared" si="5"/>
        <v>222.28690228690229</v>
      </c>
    </row>
    <row r="22" spans="1:10" ht="39.75" customHeight="1">
      <c r="A22" s="208">
        <v>1</v>
      </c>
      <c r="B22" s="16" t="s">
        <v>312</v>
      </c>
      <c r="C22" s="9"/>
      <c r="D22" s="190">
        <v>987.7</v>
      </c>
      <c r="E22" s="211">
        <v>240.5</v>
      </c>
      <c r="F22" s="190">
        <v>534.6</v>
      </c>
      <c r="G22" s="33">
        <f t="shared" si="4"/>
        <v>294.10000000000002</v>
      </c>
      <c r="H22" s="33">
        <f t="shared" si="5"/>
        <v>222.28690228690229</v>
      </c>
      <c r="J22" s="163"/>
    </row>
    <row r="23" spans="1:10" ht="24.75" customHeight="1">
      <c r="A23" s="284" t="s">
        <v>23</v>
      </c>
      <c r="B23" s="285"/>
      <c r="C23" s="13">
        <v>1150</v>
      </c>
      <c r="D23" s="199">
        <f t="shared" ref="D23:E23" si="6">D24</f>
        <v>6821.4</v>
      </c>
      <c r="E23" s="199">
        <f t="shared" si="6"/>
        <v>7350</v>
      </c>
      <c r="F23" s="199">
        <f>F24+F25</f>
        <v>8141.6</v>
      </c>
      <c r="G23" s="210">
        <f t="shared" si="4"/>
        <v>791.60000000000036</v>
      </c>
      <c r="H23" s="210">
        <f t="shared" si="5"/>
        <v>110.7700680272109</v>
      </c>
    </row>
    <row r="24" spans="1:10" ht="39.75" customHeight="1">
      <c r="A24" s="9">
        <v>1</v>
      </c>
      <c r="B24" s="18" t="s">
        <v>109</v>
      </c>
      <c r="C24" s="13"/>
      <c r="D24" s="190">
        <v>6821.4</v>
      </c>
      <c r="E24" s="211">
        <v>7350</v>
      </c>
      <c r="F24" s="190">
        <v>8139.3</v>
      </c>
      <c r="G24" s="33">
        <f t="shared" si="4"/>
        <v>789.30000000000018</v>
      </c>
      <c r="H24" s="33">
        <f t="shared" si="5"/>
        <v>110.73877551020408</v>
      </c>
      <c r="J24" s="163"/>
    </row>
    <row r="25" spans="1:10" ht="21.75" customHeight="1">
      <c r="A25" s="120" t="s">
        <v>303</v>
      </c>
      <c r="B25" s="18" t="s">
        <v>304</v>
      </c>
      <c r="C25" s="13"/>
      <c r="D25" s="190"/>
      <c r="E25" s="211"/>
      <c r="F25" s="190">
        <v>2.2999999999999998</v>
      </c>
      <c r="G25" s="33">
        <f t="shared" si="4"/>
        <v>2.2999999999999998</v>
      </c>
      <c r="H25" s="99" t="e">
        <f t="shared" si="5"/>
        <v>#DIV/0!</v>
      </c>
      <c r="J25" s="163"/>
    </row>
    <row r="26" spans="1:10" ht="22.5" customHeight="1">
      <c r="A26" s="289" t="s">
        <v>69</v>
      </c>
      <c r="B26" s="290"/>
      <c r="C26" s="13"/>
      <c r="D26" s="199"/>
      <c r="E26" s="199"/>
      <c r="F26" s="199"/>
      <c r="G26" s="210"/>
      <c r="H26" s="210"/>
    </row>
    <row r="27" spans="1:10" ht="41.25" customHeight="1">
      <c r="A27" s="281" t="s">
        <v>76</v>
      </c>
      <c r="B27" s="282"/>
      <c r="C27" s="13"/>
      <c r="D27" s="27"/>
      <c r="E27" s="27"/>
      <c r="F27" s="27"/>
      <c r="G27" s="210"/>
      <c r="H27" s="210"/>
    </row>
    <row r="28" spans="1:10" ht="27" customHeight="1">
      <c r="A28" s="284" t="s">
        <v>89</v>
      </c>
      <c r="B28" s="285"/>
      <c r="C28" s="174">
        <v>1011</v>
      </c>
      <c r="D28" s="199">
        <f>SUM(D29:D47)</f>
        <v>24673.699999999997</v>
      </c>
      <c r="E28" s="199">
        <f>SUM(E29:E47)</f>
        <v>31259.200000000001</v>
      </c>
      <c r="F28" s="199">
        <f>SUM(F29:F47)</f>
        <v>31973.4</v>
      </c>
      <c r="G28" s="210">
        <f t="shared" si="4"/>
        <v>714.20000000000073</v>
      </c>
      <c r="H28" s="210">
        <f t="shared" si="5"/>
        <v>102.28476736448791</v>
      </c>
    </row>
    <row r="29" spans="1:10" ht="36.75" customHeight="1">
      <c r="A29" s="217"/>
      <c r="B29" s="28" t="s">
        <v>185</v>
      </c>
      <c r="C29" s="218"/>
      <c r="D29" s="211"/>
      <c r="E29" s="219">
        <v>5</v>
      </c>
      <c r="F29" s="211">
        <f>43.9</f>
        <v>43.9</v>
      </c>
      <c r="G29" s="33">
        <f t="shared" si="4"/>
        <v>38.9</v>
      </c>
      <c r="H29" s="33">
        <f t="shared" si="5"/>
        <v>877.99999999999989</v>
      </c>
    </row>
    <row r="30" spans="1:10" ht="57" customHeight="1">
      <c r="A30" s="217"/>
      <c r="B30" s="16" t="s">
        <v>237</v>
      </c>
      <c r="C30" s="218"/>
      <c r="D30" s="211">
        <f>110.5+63.4+12.1</f>
        <v>186</v>
      </c>
      <c r="E30" s="211">
        <v>90</v>
      </c>
      <c r="F30" s="211">
        <f>178.9+271.5</f>
        <v>450.4</v>
      </c>
      <c r="G30" s="33">
        <f t="shared" si="4"/>
        <v>360.4</v>
      </c>
      <c r="H30" s="33">
        <f t="shared" si="5"/>
        <v>500.4444444444444</v>
      </c>
    </row>
    <row r="31" spans="1:10" ht="24" customHeight="1">
      <c r="A31" s="217"/>
      <c r="B31" s="16" t="s">
        <v>111</v>
      </c>
      <c r="C31" s="218"/>
      <c r="D31" s="211">
        <v>74.3</v>
      </c>
      <c r="E31" s="211"/>
      <c r="F31" s="211">
        <v>104.7</v>
      </c>
      <c r="G31" s="33">
        <f t="shared" si="4"/>
        <v>104.7</v>
      </c>
      <c r="H31" s="99" t="e">
        <f t="shared" si="5"/>
        <v>#DIV/0!</v>
      </c>
    </row>
    <row r="32" spans="1:10" ht="21" customHeight="1">
      <c r="A32" s="217"/>
      <c r="B32" s="16" t="s">
        <v>225</v>
      </c>
      <c r="C32" s="218"/>
      <c r="D32" s="211">
        <f>88.3</f>
        <v>88.3</v>
      </c>
      <c r="E32" s="211"/>
      <c r="F32" s="211"/>
      <c r="G32" s="33">
        <f t="shared" si="4"/>
        <v>0</v>
      </c>
      <c r="H32" s="99" t="e">
        <f t="shared" si="5"/>
        <v>#DIV/0!</v>
      </c>
    </row>
    <row r="33" spans="1:8" ht="21.75" customHeight="1">
      <c r="A33" s="217"/>
      <c r="B33" s="16" t="s">
        <v>138</v>
      </c>
      <c r="C33" s="218"/>
      <c r="D33" s="211">
        <v>23.7</v>
      </c>
      <c r="E33" s="26">
        <v>60</v>
      </c>
      <c r="F33" s="211">
        <f>42.1</f>
        <v>42.1</v>
      </c>
      <c r="G33" s="33">
        <f t="shared" si="4"/>
        <v>-17.899999999999999</v>
      </c>
      <c r="H33" s="33">
        <f t="shared" si="5"/>
        <v>70.166666666666671</v>
      </c>
    </row>
    <row r="34" spans="1:8" ht="20.25" customHeight="1">
      <c r="A34" s="217"/>
      <c r="B34" s="16" t="s">
        <v>112</v>
      </c>
      <c r="C34" s="218"/>
      <c r="D34" s="211">
        <v>1.2</v>
      </c>
      <c r="E34" s="211">
        <v>5</v>
      </c>
      <c r="F34" s="211">
        <f>2.2</f>
        <v>2.2000000000000002</v>
      </c>
      <c r="G34" s="33">
        <f t="shared" si="4"/>
        <v>-2.8</v>
      </c>
      <c r="H34" s="33">
        <f t="shared" si="5"/>
        <v>44.000000000000007</v>
      </c>
    </row>
    <row r="35" spans="1:8" ht="21" customHeight="1">
      <c r="A35" s="217"/>
      <c r="B35" s="16" t="s">
        <v>139</v>
      </c>
      <c r="C35" s="218"/>
      <c r="D35" s="211">
        <v>20.100000000000001</v>
      </c>
      <c r="E35" s="211"/>
      <c r="F35" s="211">
        <v>150.9</v>
      </c>
      <c r="G35" s="33">
        <f t="shared" si="4"/>
        <v>150.9</v>
      </c>
      <c r="H35" s="99" t="e">
        <f t="shared" si="5"/>
        <v>#DIV/0!</v>
      </c>
    </row>
    <row r="36" spans="1:8" ht="20.25" customHeight="1">
      <c r="A36" s="217"/>
      <c r="B36" s="16" t="s">
        <v>140</v>
      </c>
      <c r="C36" s="218"/>
      <c r="D36" s="211">
        <v>33.5</v>
      </c>
      <c r="E36" s="211"/>
      <c r="F36" s="211">
        <v>90.1</v>
      </c>
      <c r="G36" s="33">
        <f t="shared" si="4"/>
        <v>90.1</v>
      </c>
      <c r="H36" s="99" t="e">
        <f t="shared" si="5"/>
        <v>#DIV/0!</v>
      </c>
    </row>
    <row r="37" spans="1:8" ht="36.75" customHeight="1">
      <c r="A37" s="217"/>
      <c r="B37" s="16" t="s">
        <v>238</v>
      </c>
      <c r="C37" s="9"/>
      <c r="D37" s="211">
        <f>92.3+289.2</f>
        <v>381.5</v>
      </c>
      <c r="E37" s="211">
        <v>150</v>
      </c>
      <c r="F37" s="211">
        <f>203.5+278.1+43.9</f>
        <v>525.5</v>
      </c>
      <c r="G37" s="33">
        <f t="shared" si="4"/>
        <v>375.5</v>
      </c>
      <c r="H37" s="33">
        <f t="shared" si="5"/>
        <v>350.33333333333331</v>
      </c>
    </row>
    <row r="38" spans="1:8" ht="18" customHeight="1">
      <c r="A38" s="217"/>
      <c r="B38" s="16" t="s">
        <v>140</v>
      </c>
      <c r="C38" s="9"/>
      <c r="D38" s="211"/>
      <c r="E38" s="211">
        <v>1.5</v>
      </c>
      <c r="F38" s="211">
        <f>36.6</f>
        <v>36.6</v>
      </c>
      <c r="G38" s="33">
        <f t="shared" si="4"/>
        <v>35.1</v>
      </c>
      <c r="H38" s="33">
        <f t="shared" si="5"/>
        <v>2440</v>
      </c>
    </row>
    <row r="39" spans="1:8" ht="18" customHeight="1">
      <c r="A39" s="217"/>
      <c r="B39" s="16" t="s">
        <v>225</v>
      </c>
      <c r="C39" s="9"/>
      <c r="D39" s="211"/>
      <c r="E39" s="211">
        <v>125</v>
      </c>
      <c r="F39" s="211">
        <v>98.9</v>
      </c>
      <c r="G39" s="33">
        <f t="shared" si="4"/>
        <v>-26.099999999999994</v>
      </c>
      <c r="H39" s="33">
        <f t="shared" si="5"/>
        <v>79.12</v>
      </c>
    </row>
    <row r="40" spans="1:8" ht="20.25" customHeight="1">
      <c r="A40" s="217"/>
      <c r="B40" s="16" t="s">
        <v>142</v>
      </c>
      <c r="C40" s="218"/>
      <c r="D40" s="211">
        <v>28.6</v>
      </c>
      <c r="E40" s="211">
        <v>5</v>
      </c>
      <c r="F40" s="211">
        <v>506.9</v>
      </c>
      <c r="G40" s="33">
        <f t="shared" si="4"/>
        <v>501.9</v>
      </c>
      <c r="H40" s="33">
        <f t="shared" si="5"/>
        <v>10138</v>
      </c>
    </row>
    <row r="41" spans="1:8" ht="21" customHeight="1">
      <c r="A41" s="217"/>
      <c r="B41" s="16" t="s">
        <v>110</v>
      </c>
      <c r="C41" s="218"/>
      <c r="D41" s="211">
        <v>18779.3</v>
      </c>
      <c r="E41" s="26">
        <v>25195</v>
      </c>
      <c r="F41" s="211">
        <f>20518.3+352.5+1843.3+300.1</f>
        <v>23014.199999999997</v>
      </c>
      <c r="G41" s="33">
        <f t="shared" si="4"/>
        <v>-2180.8000000000029</v>
      </c>
      <c r="H41" s="33">
        <f t="shared" si="5"/>
        <v>91.344314348084922</v>
      </c>
    </row>
    <row r="42" spans="1:8" ht="21" customHeight="1">
      <c r="A42" s="217"/>
      <c r="B42" s="16" t="s">
        <v>130</v>
      </c>
      <c r="C42" s="218"/>
      <c r="D42" s="211">
        <f>755.3+151.5</f>
        <v>906.8</v>
      </c>
      <c r="E42" s="211">
        <v>600</v>
      </c>
      <c r="F42" s="211">
        <f>770.2+176.7</f>
        <v>946.90000000000009</v>
      </c>
      <c r="G42" s="33">
        <f t="shared" si="4"/>
        <v>346.90000000000009</v>
      </c>
      <c r="H42" s="33">
        <f t="shared" si="5"/>
        <v>157.81666666666666</v>
      </c>
    </row>
    <row r="43" spans="1:8" ht="20.25" customHeight="1">
      <c r="A43" s="217"/>
      <c r="B43" s="16" t="s">
        <v>132</v>
      </c>
      <c r="C43" s="218"/>
      <c r="D43" s="211">
        <v>104.6</v>
      </c>
      <c r="E43" s="211">
        <v>123.8</v>
      </c>
      <c r="F43" s="211">
        <v>5.6</v>
      </c>
      <c r="G43" s="33">
        <f t="shared" si="4"/>
        <v>-118.2</v>
      </c>
      <c r="H43" s="33">
        <f t="shared" si="5"/>
        <v>4.523424878836833</v>
      </c>
    </row>
    <row r="44" spans="1:8" ht="21" customHeight="1">
      <c r="A44" s="217"/>
      <c r="B44" s="16" t="s">
        <v>123</v>
      </c>
      <c r="C44" s="218"/>
      <c r="D44" s="211">
        <f>2536.2+4.5</f>
        <v>2540.6999999999998</v>
      </c>
      <c r="E44" s="211">
        <v>2830.2</v>
      </c>
      <c r="F44" s="211">
        <f>3163.7+5</f>
        <v>3168.7</v>
      </c>
      <c r="G44" s="33">
        <f t="shared" si="4"/>
        <v>338.5</v>
      </c>
      <c r="H44" s="33">
        <f t="shared" si="5"/>
        <v>111.96028549219137</v>
      </c>
    </row>
    <row r="45" spans="1:8" ht="20.25" customHeight="1">
      <c r="A45" s="217"/>
      <c r="B45" s="18" t="s">
        <v>124</v>
      </c>
      <c r="C45" s="218"/>
      <c r="D45" s="211">
        <f>129.7+0.6</f>
        <v>130.29999999999998</v>
      </c>
      <c r="E45" s="211">
        <v>113.4</v>
      </c>
      <c r="F45" s="211">
        <f>107.6+0.6</f>
        <v>108.19999999999999</v>
      </c>
      <c r="G45" s="33">
        <f t="shared" si="4"/>
        <v>-5.2000000000000171</v>
      </c>
      <c r="H45" s="33">
        <f t="shared" si="5"/>
        <v>95.414462081128733</v>
      </c>
    </row>
    <row r="46" spans="1:8" ht="21" customHeight="1">
      <c r="A46" s="217"/>
      <c r="B46" s="16" t="s">
        <v>125</v>
      </c>
      <c r="C46" s="218"/>
      <c r="D46" s="211">
        <f>1239.7+62.6</f>
        <v>1302.3</v>
      </c>
      <c r="E46" s="211">
        <v>1871.2</v>
      </c>
      <c r="F46" s="211">
        <f>2515.8+80.1</f>
        <v>2595.9</v>
      </c>
      <c r="G46" s="33">
        <f t="shared" si="4"/>
        <v>724.7</v>
      </c>
      <c r="H46" s="33">
        <f t="shared" si="5"/>
        <v>138.72915775972638</v>
      </c>
    </row>
    <row r="47" spans="1:8" ht="20.25" customHeight="1">
      <c r="A47" s="217"/>
      <c r="B47" s="16" t="s">
        <v>126</v>
      </c>
      <c r="C47" s="218"/>
      <c r="D47" s="211">
        <f>72.3+0.2</f>
        <v>72.5</v>
      </c>
      <c r="E47" s="211">
        <v>84.100000000000009</v>
      </c>
      <c r="F47" s="211">
        <f>81.5+0.2</f>
        <v>81.7</v>
      </c>
      <c r="G47" s="33">
        <f t="shared" si="4"/>
        <v>-2.4000000000000057</v>
      </c>
      <c r="H47" s="33">
        <f t="shared" si="5"/>
        <v>97.146254458977396</v>
      </c>
    </row>
    <row r="48" spans="1:8" ht="24.75" customHeight="1">
      <c r="A48" s="284" t="s">
        <v>196</v>
      </c>
      <c r="B48" s="285"/>
      <c r="C48" s="220">
        <v>1015</v>
      </c>
      <c r="D48" s="199">
        <f>SUM(D49:D74)</f>
        <v>672.8</v>
      </c>
      <c r="E48" s="199">
        <f>SUM(E49:E75)</f>
        <v>1037.4000000000001</v>
      </c>
      <c r="F48" s="199">
        <f>SUM(F49:F75)</f>
        <v>1106.5000000000002</v>
      </c>
      <c r="G48" s="210">
        <f t="shared" si="4"/>
        <v>69.100000000000136</v>
      </c>
      <c r="H48" s="210">
        <f t="shared" si="5"/>
        <v>106.66088297667247</v>
      </c>
    </row>
    <row r="49" spans="1:8" ht="40.5" customHeight="1">
      <c r="A49" s="217"/>
      <c r="B49" s="28" t="s">
        <v>190</v>
      </c>
      <c r="C49" s="9"/>
      <c r="D49" s="190">
        <f>7.6</f>
        <v>7.6</v>
      </c>
      <c r="E49" s="211">
        <v>25</v>
      </c>
      <c r="F49" s="190">
        <f>8.7</f>
        <v>8.6999999999999993</v>
      </c>
      <c r="G49" s="33">
        <f t="shared" si="4"/>
        <v>-16.3</v>
      </c>
      <c r="H49" s="33">
        <f t="shared" si="5"/>
        <v>34.799999999999997</v>
      </c>
    </row>
    <row r="50" spans="1:8" ht="54" customHeight="1">
      <c r="A50" s="217"/>
      <c r="B50" s="31" t="s">
        <v>114</v>
      </c>
      <c r="C50" s="9"/>
      <c r="D50" s="190">
        <f>4.5</f>
        <v>4.5</v>
      </c>
      <c r="E50" s="211">
        <v>6.5</v>
      </c>
      <c r="F50" s="190">
        <f>6.1</f>
        <v>6.1</v>
      </c>
      <c r="G50" s="33">
        <f t="shared" si="4"/>
        <v>-0.40000000000000036</v>
      </c>
      <c r="H50" s="33">
        <f t="shared" si="5"/>
        <v>93.84615384615384</v>
      </c>
    </row>
    <row r="51" spans="1:8" ht="22.5" customHeight="1">
      <c r="A51" s="217"/>
      <c r="B51" s="31" t="s">
        <v>128</v>
      </c>
      <c r="C51" s="218"/>
      <c r="D51" s="190">
        <f>19.7</f>
        <v>19.7</v>
      </c>
      <c r="E51" s="211">
        <v>100</v>
      </c>
      <c r="F51" s="190"/>
      <c r="G51" s="33">
        <f t="shared" si="4"/>
        <v>-100</v>
      </c>
      <c r="H51" s="33">
        <f t="shared" si="5"/>
        <v>0</v>
      </c>
    </row>
    <row r="52" spans="1:8" ht="34.5" customHeight="1">
      <c r="A52" s="217"/>
      <c r="B52" s="16" t="s">
        <v>265</v>
      </c>
      <c r="C52" s="218"/>
      <c r="D52" s="190"/>
      <c r="E52" s="219">
        <v>150</v>
      </c>
      <c r="F52" s="190">
        <f>13.5</f>
        <v>13.5</v>
      </c>
      <c r="G52" s="33">
        <f t="shared" si="4"/>
        <v>-136.5</v>
      </c>
      <c r="H52" s="33">
        <f t="shared" si="5"/>
        <v>9</v>
      </c>
    </row>
    <row r="53" spans="1:8" ht="20.25" customHeight="1">
      <c r="A53" s="217"/>
      <c r="B53" s="31" t="s">
        <v>116</v>
      </c>
      <c r="C53" s="218"/>
      <c r="D53" s="190">
        <f>12.2</f>
        <v>12.2</v>
      </c>
      <c r="E53" s="219">
        <v>11</v>
      </c>
      <c r="F53" s="190">
        <v>11.6</v>
      </c>
      <c r="G53" s="33">
        <f t="shared" si="4"/>
        <v>0.59999999999999964</v>
      </c>
      <c r="H53" s="33">
        <f t="shared" si="5"/>
        <v>105.45454545454544</v>
      </c>
    </row>
    <row r="54" spans="1:8" ht="20.25" customHeight="1">
      <c r="A54" s="217"/>
      <c r="B54" s="31" t="s">
        <v>117</v>
      </c>
      <c r="C54" s="218"/>
      <c r="D54" s="190">
        <f>3.6</f>
        <v>3.6</v>
      </c>
      <c r="E54" s="219">
        <v>4</v>
      </c>
      <c r="F54" s="190">
        <v>1.4</v>
      </c>
      <c r="G54" s="33">
        <f t="shared" si="4"/>
        <v>-2.6</v>
      </c>
      <c r="H54" s="33">
        <f t="shared" si="5"/>
        <v>35</v>
      </c>
    </row>
    <row r="55" spans="1:8" ht="18.75" customHeight="1">
      <c r="A55" s="221"/>
      <c r="B55" s="31" t="s">
        <v>249</v>
      </c>
      <c r="C55" s="208"/>
      <c r="D55" s="190">
        <f>182.4</f>
        <v>182.4</v>
      </c>
      <c r="E55" s="211">
        <v>120</v>
      </c>
      <c r="F55" s="190">
        <f>155.1+21.6</f>
        <v>176.7</v>
      </c>
      <c r="G55" s="33">
        <f t="shared" si="4"/>
        <v>56.699999999999989</v>
      </c>
      <c r="H55" s="33">
        <f t="shared" si="5"/>
        <v>147.25</v>
      </c>
    </row>
    <row r="56" spans="1:8" ht="18" customHeight="1">
      <c r="A56" s="221"/>
      <c r="B56" s="31" t="s">
        <v>118</v>
      </c>
      <c r="C56" s="208"/>
      <c r="D56" s="190">
        <f>14.4</f>
        <v>14.4</v>
      </c>
      <c r="E56" s="211">
        <v>19.5</v>
      </c>
      <c r="F56" s="190">
        <v>23.9</v>
      </c>
      <c r="G56" s="33">
        <f t="shared" si="4"/>
        <v>4.3999999999999986</v>
      </c>
      <c r="H56" s="33">
        <f t="shared" si="5"/>
        <v>122.56410256410255</v>
      </c>
    </row>
    <row r="57" spans="1:8" ht="18" customHeight="1">
      <c r="A57" s="217"/>
      <c r="B57" s="31" t="s">
        <v>119</v>
      </c>
      <c r="C57" s="218"/>
      <c r="D57" s="190">
        <f>11.6</f>
        <v>11.6</v>
      </c>
      <c r="E57" s="219">
        <v>11.6</v>
      </c>
      <c r="F57" s="190">
        <v>12.9</v>
      </c>
      <c r="G57" s="33">
        <f t="shared" si="4"/>
        <v>1.3000000000000007</v>
      </c>
      <c r="H57" s="33">
        <f t="shared" si="5"/>
        <v>111.20689655172416</v>
      </c>
    </row>
    <row r="58" spans="1:8" ht="18" customHeight="1">
      <c r="A58" s="217"/>
      <c r="B58" s="31" t="s">
        <v>120</v>
      </c>
      <c r="C58" s="218"/>
      <c r="D58" s="190">
        <f>11.6</f>
        <v>11.6</v>
      </c>
      <c r="E58" s="219">
        <v>17</v>
      </c>
      <c r="F58" s="190">
        <v>46.7</v>
      </c>
      <c r="G58" s="33">
        <f t="shared" si="4"/>
        <v>29.700000000000003</v>
      </c>
      <c r="H58" s="33">
        <f t="shared" si="5"/>
        <v>274.70588235294116</v>
      </c>
    </row>
    <row r="59" spans="1:8" ht="18" customHeight="1">
      <c r="A59" s="217"/>
      <c r="B59" s="31" t="s">
        <v>121</v>
      </c>
      <c r="C59" s="218"/>
      <c r="D59" s="190"/>
      <c r="E59" s="219"/>
      <c r="F59" s="190">
        <v>21.7</v>
      </c>
      <c r="G59" s="33">
        <f t="shared" si="4"/>
        <v>21.7</v>
      </c>
      <c r="H59" s="99" t="e">
        <f t="shared" si="5"/>
        <v>#DIV/0!</v>
      </c>
    </row>
    <row r="60" spans="1:8" ht="21.75" customHeight="1">
      <c r="A60" s="217"/>
      <c r="B60" s="31" t="s">
        <v>122</v>
      </c>
      <c r="C60" s="218"/>
      <c r="D60" s="190">
        <f>11.7</f>
        <v>11.7</v>
      </c>
      <c r="E60" s="190">
        <v>13</v>
      </c>
      <c r="F60" s="190"/>
      <c r="G60" s="33">
        <f t="shared" si="4"/>
        <v>-13</v>
      </c>
      <c r="H60" s="33">
        <f t="shared" si="5"/>
        <v>0</v>
      </c>
    </row>
    <row r="61" spans="1:8" ht="62.25" customHeight="1">
      <c r="A61" s="217"/>
      <c r="B61" s="31" t="s">
        <v>315</v>
      </c>
      <c r="C61" s="218"/>
      <c r="D61" s="190"/>
      <c r="E61" s="190"/>
      <c r="F61" s="190">
        <v>387.4</v>
      </c>
      <c r="G61" s="33">
        <f t="shared" si="4"/>
        <v>387.4</v>
      </c>
      <c r="H61" s="99" t="e">
        <f t="shared" si="5"/>
        <v>#DIV/0!</v>
      </c>
    </row>
    <row r="62" spans="1:8" ht="54.75" customHeight="1">
      <c r="A62" s="221"/>
      <c r="B62" s="222" t="s">
        <v>143</v>
      </c>
      <c r="C62" s="208"/>
      <c r="D62" s="190">
        <f>95</f>
        <v>95</v>
      </c>
      <c r="E62" s="190">
        <v>160</v>
      </c>
      <c r="F62" s="190">
        <v>213.6</v>
      </c>
      <c r="G62" s="33">
        <f t="shared" si="4"/>
        <v>53.599999999999994</v>
      </c>
      <c r="H62" s="33">
        <f t="shared" si="5"/>
        <v>133.5</v>
      </c>
    </row>
    <row r="63" spans="1:8" ht="95.25" customHeight="1">
      <c r="A63" s="217"/>
      <c r="B63" s="16" t="s">
        <v>306</v>
      </c>
      <c r="C63" s="208"/>
      <c r="D63" s="190"/>
      <c r="E63" s="190">
        <v>50</v>
      </c>
      <c r="F63" s="190"/>
      <c r="G63" s="33">
        <f t="shared" si="4"/>
        <v>-50</v>
      </c>
      <c r="H63" s="33">
        <f t="shared" si="5"/>
        <v>0</v>
      </c>
    </row>
    <row r="64" spans="1:8" ht="18.75" customHeight="1">
      <c r="A64" s="217"/>
      <c r="B64" s="31" t="s">
        <v>156</v>
      </c>
      <c r="C64" s="218"/>
      <c r="D64" s="190">
        <f>2.7</f>
        <v>2.7</v>
      </c>
      <c r="E64" s="219">
        <v>2.5</v>
      </c>
      <c r="F64" s="190">
        <v>1.4</v>
      </c>
      <c r="G64" s="33">
        <f t="shared" si="4"/>
        <v>-1.1000000000000001</v>
      </c>
      <c r="H64" s="33">
        <f t="shared" si="5"/>
        <v>55.999999999999993</v>
      </c>
    </row>
    <row r="65" spans="1:8" ht="19.5" customHeight="1">
      <c r="A65" s="217"/>
      <c r="B65" s="31" t="s">
        <v>144</v>
      </c>
      <c r="C65" s="218"/>
      <c r="D65" s="190">
        <f>0.5</f>
        <v>0.5</v>
      </c>
      <c r="E65" s="219">
        <v>0.3</v>
      </c>
      <c r="F65" s="190"/>
      <c r="G65" s="33">
        <f t="shared" si="4"/>
        <v>-0.3</v>
      </c>
      <c r="H65" s="33">
        <f t="shared" si="5"/>
        <v>0</v>
      </c>
    </row>
    <row r="66" spans="1:8" ht="19.5" customHeight="1">
      <c r="A66" s="217"/>
      <c r="B66" s="31" t="s">
        <v>209</v>
      </c>
      <c r="C66" s="218"/>
      <c r="D66" s="190">
        <f>27</f>
        <v>27</v>
      </c>
      <c r="E66" s="219">
        <v>27</v>
      </c>
      <c r="F66" s="190">
        <v>29.7</v>
      </c>
      <c r="G66" s="33">
        <f t="shared" si="4"/>
        <v>2.6999999999999993</v>
      </c>
      <c r="H66" s="33">
        <f t="shared" si="5"/>
        <v>109.99999999999999</v>
      </c>
    </row>
    <row r="67" spans="1:8" ht="73.5" customHeight="1">
      <c r="A67" s="217"/>
      <c r="B67" s="16" t="s">
        <v>313</v>
      </c>
      <c r="C67" s="218"/>
      <c r="D67" s="190"/>
      <c r="E67" s="219"/>
      <c r="F67" s="190">
        <v>19.2</v>
      </c>
      <c r="G67" s="33">
        <f t="shared" si="4"/>
        <v>19.2</v>
      </c>
      <c r="H67" s="99" t="e">
        <f t="shared" si="5"/>
        <v>#DIV/0!</v>
      </c>
    </row>
    <row r="68" spans="1:8" ht="22.5" customHeight="1">
      <c r="A68" s="217"/>
      <c r="B68" s="31" t="s">
        <v>157</v>
      </c>
      <c r="C68" s="223"/>
      <c r="D68" s="190">
        <f>146.3</f>
        <v>146.30000000000001</v>
      </c>
      <c r="E68" s="211">
        <v>150</v>
      </c>
      <c r="F68" s="190">
        <v>107.4</v>
      </c>
      <c r="G68" s="33">
        <f t="shared" si="4"/>
        <v>-42.599999999999994</v>
      </c>
      <c r="H68" s="33">
        <f t="shared" si="5"/>
        <v>71.600000000000009</v>
      </c>
    </row>
    <row r="69" spans="1:8" ht="57" customHeight="1">
      <c r="A69" s="217"/>
      <c r="B69" s="31" t="s">
        <v>208</v>
      </c>
      <c r="C69" s="223"/>
      <c r="D69" s="190"/>
      <c r="E69" s="211">
        <v>1.5</v>
      </c>
      <c r="F69" s="190">
        <v>3</v>
      </c>
      <c r="G69" s="33">
        <f t="shared" si="4"/>
        <v>1.5</v>
      </c>
      <c r="H69" s="33">
        <f t="shared" si="5"/>
        <v>200</v>
      </c>
    </row>
    <row r="70" spans="1:8" ht="36" customHeight="1">
      <c r="A70" s="217"/>
      <c r="B70" s="31" t="s">
        <v>127</v>
      </c>
      <c r="C70" s="223"/>
      <c r="D70" s="190"/>
      <c r="E70" s="211">
        <v>6</v>
      </c>
      <c r="F70" s="190"/>
      <c r="G70" s="33">
        <f t="shared" si="4"/>
        <v>-6</v>
      </c>
      <c r="H70" s="33">
        <f t="shared" si="5"/>
        <v>0</v>
      </c>
    </row>
    <row r="71" spans="1:8" ht="18.75" customHeight="1">
      <c r="A71" s="217"/>
      <c r="B71" s="31" t="s">
        <v>305</v>
      </c>
      <c r="C71" s="223"/>
      <c r="D71" s="190"/>
      <c r="E71" s="211">
        <v>10</v>
      </c>
      <c r="F71" s="190">
        <v>14.7</v>
      </c>
      <c r="G71" s="33">
        <f t="shared" si="4"/>
        <v>4.6999999999999993</v>
      </c>
      <c r="H71" s="33">
        <f t="shared" si="5"/>
        <v>147</v>
      </c>
    </row>
    <row r="72" spans="1:8" ht="36" customHeight="1">
      <c r="A72" s="217"/>
      <c r="B72" s="16" t="s">
        <v>268</v>
      </c>
      <c r="C72" s="223"/>
      <c r="D72" s="190">
        <v>23</v>
      </c>
      <c r="E72" s="190"/>
      <c r="F72" s="190"/>
      <c r="G72" s="33">
        <f t="shared" ref="G72:G98" si="7">F72-E72</f>
        <v>0</v>
      </c>
      <c r="H72" s="99" t="e">
        <f t="shared" ref="H72:H98" si="8">(F72/E72)*100</f>
        <v>#DIV/0!</v>
      </c>
    </row>
    <row r="73" spans="1:8" ht="55.5" customHeight="1">
      <c r="A73" s="217"/>
      <c r="B73" s="16" t="s">
        <v>239</v>
      </c>
      <c r="C73" s="223"/>
      <c r="D73" s="190"/>
      <c r="E73" s="211">
        <v>2.5</v>
      </c>
      <c r="F73" s="190"/>
      <c r="G73" s="33">
        <f t="shared" si="7"/>
        <v>-2.5</v>
      </c>
      <c r="H73" s="33">
        <f t="shared" si="8"/>
        <v>0</v>
      </c>
    </row>
    <row r="74" spans="1:8" ht="34.5" customHeight="1">
      <c r="A74" s="221"/>
      <c r="B74" s="143" t="s">
        <v>254</v>
      </c>
      <c r="C74" s="223"/>
      <c r="D74" s="190">
        <v>99</v>
      </c>
      <c r="E74" s="211">
        <v>150</v>
      </c>
      <c r="F74" s="190"/>
      <c r="G74" s="33">
        <f t="shared" si="7"/>
        <v>-150</v>
      </c>
      <c r="H74" s="33">
        <f t="shared" si="8"/>
        <v>0</v>
      </c>
    </row>
    <row r="75" spans="1:8" ht="34.5" customHeight="1">
      <c r="A75" s="217"/>
      <c r="B75" s="16" t="s">
        <v>316</v>
      </c>
      <c r="C75" s="223"/>
      <c r="D75" s="190"/>
      <c r="E75" s="211"/>
      <c r="F75" s="190">
        <v>6.9</v>
      </c>
      <c r="G75" s="33">
        <f t="shared" si="7"/>
        <v>6.9</v>
      </c>
      <c r="H75" s="99" t="e">
        <f t="shared" si="8"/>
        <v>#DIV/0!</v>
      </c>
    </row>
    <row r="76" spans="1:8" ht="21" customHeight="1">
      <c r="A76" s="281" t="s">
        <v>77</v>
      </c>
      <c r="B76" s="282"/>
      <c r="C76" s="21"/>
      <c r="D76" s="199"/>
      <c r="E76" s="199"/>
      <c r="F76" s="199"/>
      <c r="G76" s="210"/>
      <c r="H76" s="210"/>
    </row>
    <row r="77" spans="1:8" ht="21.75" customHeight="1">
      <c r="A77" s="284" t="s">
        <v>89</v>
      </c>
      <c r="B77" s="285"/>
      <c r="C77" s="13">
        <v>1021</v>
      </c>
      <c r="D77" s="200">
        <f>SUM(D78:D80)</f>
        <v>85</v>
      </c>
      <c r="E77" s="200">
        <f>SUM(E78:E80)</f>
        <v>55</v>
      </c>
      <c r="F77" s="200">
        <f>SUM(F78:F80)</f>
        <v>42.1</v>
      </c>
      <c r="G77" s="210">
        <f t="shared" si="7"/>
        <v>-12.899999999999999</v>
      </c>
      <c r="H77" s="210">
        <f t="shared" si="8"/>
        <v>76.545454545454547</v>
      </c>
    </row>
    <row r="78" spans="1:8" ht="20.25" customHeight="1">
      <c r="A78" s="173"/>
      <c r="B78" s="31" t="s">
        <v>138</v>
      </c>
      <c r="C78" s="13"/>
      <c r="D78" s="190">
        <v>85</v>
      </c>
      <c r="E78" s="190">
        <v>40</v>
      </c>
      <c r="F78" s="190">
        <v>42.1</v>
      </c>
      <c r="G78" s="33">
        <f t="shared" si="7"/>
        <v>2.1000000000000014</v>
      </c>
      <c r="H78" s="33">
        <f t="shared" si="8"/>
        <v>105.25</v>
      </c>
    </row>
    <row r="79" spans="1:8" ht="22.5" customHeight="1">
      <c r="A79" s="173"/>
      <c r="B79" s="31" t="s">
        <v>113</v>
      </c>
      <c r="C79" s="13"/>
      <c r="D79" s="190"/>
      <c r="E79" s="219">
        <v>7</v>
      </c>
      <c r="F79" s="190"/>
      <c r="G79" s="33">
        <f t="shared" si="7"/>
        <v>-7</v>
      </c>
      <c r="H79" s="33">
        <f t="shared" si="8"/>
        <v>0</v>
      </c>
    </row>
    <row r="80" spans="1:8" ht="21.75" customHeight="1">
      <c r="A80" s="224"/>
      <c r="B80" s="31" t="s">
        <v>141</v>
      </c>
      <c r="C80" s="9"/>
      <c r="D80" s="190"/>
      <c r="E80" s="219">
        <v>8</v>
      </c>
      <c r="F80" s="190"/>
      <c r="G80" s="33">
        <f t="shared" si="7"/>
        <v>-8</v>
      </c>
      <c r="H80" s="33">
        <f t="shared" si="8"/>
        <v>0</v>
      </c>
    </row>
    <row r="81" spans="1:8" ht="24" customHeight="1">
      <c r="A81" s="284" t="s">
        <v>194</v>
      </c>
      <c r="B81" s="285"/>
      <c r="C81" s="13">
        <v>1025</v>
      </c>
      <c r="D81" s="200">
        <f>SUM(D82:D93)</f>
        <v>165.50000000000006</v>
      </c>
      <c r="E81" s="200">
        <f>SUM(E82:E93)</f>
        <v>267.09999999999997</v>
      </c>
      <c r="F81" s="200">
        <f>SUM(F82:F93)</f>
        <v>234.90000000000003</v>
      </c>
      <c r="G81" s="210">
        <f t="shared" si="7"/>
        <v>-32.199999999999932</v>
      </c>
      <c r="H81" s="210">
        <f t="shared" si="8"/>
        <v>87.944590041183105</v>
      </c>
    </row>
    <row r="82" spans="1:8" ht="18" customHeight="1">
      <c r="A82" s="173"/>
      <c r="B82" s="31" t="s">
        <v>115</v>
      </c>
      <c r="C82" s="13"/>
      <c r="D82" s="190">
        <f>26.1</f>
        <v>26.1</v>
      </c>
      <c r="E82" s="219">
        <v>30</v>
      </c>
      <c r="F82" s="190">
        <v>25.4</v>
      </c>
      <c r="G82" s="33">
        <f t="shared" si="7"/>
        <v>-4.6000000000000014</v>
      </c>
      <c r="H82" s="33">
        <f t="shared" si="8"/>
        <v>84.666666666666657</v>
      </c>
    </row>
    <row r="83" spans="1:8" ht="18" customHeight="1">
      <c r="A83" s="173"/>
      <c r="B83" s="31" t="s">
        <v>170</v>
      </c>
      <c r="C83" s="13"/>
      <c r="D83" s="190">
        <f>43.1</f>
        <v>43.1</v>
      </c>
      <c r="E83" s="219">
        <v>70</v>
      </c>
      <c r="F83" s="190">
        <v>41.6</v>
      </c>
      <c r="G83" s="33">
        <f t="shared" si="7"/>
        <v>-28.4</v>
      </c>
      <c r="H83" s="33">
        <f t="shared" si="8"/>
        <v>59.428571428571431</v>
      </c>
    </row>
    <row r="84" spans="1:8" ht="39.75" customHeight="1">
      <c r="A84" s="173"/>
      <c r="B84" s="196" t="s">
        <v>307</v>
      </c>
      <c r="C84" s="13"/>
      <c r="D84" s="190"/>
      <c r="E84" s="219">
        <v>40</v>
      </c>
      <c r="F84" s="190">
        <v>36.5</v>
      </c>
      <c r="G84" s="33">
        <f t="shared" si="7"/>
        <v>-3.5</v>
      </c>
      <c r="H84" s="33">
        <f t="shared" si="8"/>
        <v>91.25</v>
      </c>
    </row>
    <row r="85" spans="1:8" ht="18" customHeight="1">
      <c r="A85" s="173"/>
      <c r="B85" s="31" t="s">
        <v>146</v>
      </c>
      <c r="C85" s="13"/>
      <c r="D85" s="190">
        <f>33.7</f>
        <v>33.700000000000003</v>
      </c>
      <c r="E85" s="219">
        <v>25</v>
      </c>
      <c r="F85" s="190">
        <v>36.799999999999997</v>
      </c>
      <c r="G85" s="33">
        <f t="shared" si="7"/>
        <v>11.799999999999997</v>
      </c>
      <c r="H85" s="33">
        <f t="shared" si="8"/>
        <v>147.19999999999999</v>
      </c>
    </row>
    <row r="86" spans="1:8" ht="18" customHeight="1">
      <c r="A86" s="173"/>
      <c r="B86" s="31" t="s">
        <v>147</v>
      </c>
      <c r="C86" s="13"/>
      <c r="D86" s="190">
        <f>9</f>
        <v>9</v>
      </c>
      <c r="E86" s="219">
        <v>30</v>
      </c>
      <c r="F86" s="190">
        <v>15</v>
      </c>
      <c r="G86" s="33">
        <f t="shared" si="7"/>
        <v>-15</v>
      </c>
      <c r="H86" s="33">
        <f t="shared" si="8"/>
        <v>50</v>
      </c>
    </row>
    <row r="87" spans="1:8" ht="18" customHeight="1">
      <c r="A87" s="173"/>
      <c r="B87" s="31" t="s">
        <v>123</v>
      </c>
      <c r="C87" s="13"/>
      <c r="D87" s="190">
        <v>41.2</v>
      </c>
      <c r="E87" s="219">
        <v>55.7</v>
      </c>
      <c r="F87" s="190">
        <f>59.9</f>
        <v>59.9</v>
      </c>
      <c r="G87" s="33">
        <f t="shared" si="7"/>
        <v>4.1999999999999957</v>
      </c>
      <c r="H87" s="33">
        <f t="shared" si="8"/>
        <v>107.54039497307002</v>
      </c>
    </row>
    <row r="88" spans="1:8" ht="18" customHeight="1">
      <c r="A88" s="173"/>
      <c r="B88" s="31" t="s">
        <v>124</v>
      </c>
      <c r="C88" s="13"/>
      <c r="D88" s="190">
        <v>1.3</v>
      </c>
      <c r="E88" s="219">
        <v>1.2</v>
      </c>
      <c r="F88" s="190">
        <f>1.1</f>
        <v>1.1000000000000001</v>
      </c>
      <c r="G88" s="33">
        <f t="shared" si="7"/>
        <v>-9.9999999999999867E-2</v>
      </c>
      <c r="H88" s="33">
        <f t="shared" si="8"/>
        <v>91.666666666666671</v>
      </c>
    </row>
    <row r="89" spans="1:8" ht="18" customHeight="1">
      <c r="A89" s="173"/>
      <c r="B89" s="31" t="s">
        <v>125</v>
      </c>
      <c r="C89" s="13"/>
      <c r="D89" s="190">
        <v>9</v>
      </c>
      <c r="E89" s="219">
        <v>12.4</v>
      </c>
      <c r="F89" s="190">
        <f>17.3</f>
        <v>17.3</v>
      </c>
      <c r="G89" s="33">
        <f t="shared" si="7"/>
        <v>4.9000000000000004</v>
      </c>
      <c r="H89" s="33">
        <f t="shared" si="8"/>
        <v>139.51612903225808</v>
      </c>
    </row>
    <row r="90" spans="1:8" ht="21.75" customHeight="1">
      <c r="A90" s="173"/>
      <c r="B90" s="31" t="s">
        <v>126</v>
      </c>
      <c r="C90" s="13"/>
      <c r="D90" s="190">
        <v>0.9</v>
      </c>
      <c r="E90" s="219">
        <v>1</v>
      </c>
      <c r="F90" s="190">
        <f>1</f>
        <v>1</v>
      </c>
      <c r="G90" s="33">
        <f t="shared" si="7"/>
        <v>0</v>
      </c>
      <c r="H90" s="33">
        <f t="shared" si="8"/>
        <v>100</v>
      </c>
    </row>
    <row r="91" spans="1:8" ht="36.75" customHeight="1">
      <c r="A91" s="173"/>
      <c r="B91" s="31" t="s">
        <v>148</v>
      </c>
      <c r="C91" s="13"/>
      <c r="D91" s="190"/>
      <c r="E91" s="190">
        <v>1.5</v>
      </c>
      <c r="F91" s="190"/>
      <c r="G91" s="33">
        <f t="shared" si="7"/>
        <v>-1.5</v>
      </c>
      <c r="H91" s="33">
        <f t="shared" si="8"/>
        <v>0</v>
      </c>
    </row>
    <row r="92" spans="1:8" ht="18" customHeight="1">
      <c r="A92" s="173"/>
      <c r="B92" s="31" t="s">
        <v>38</v>
      </c>
      <c r="C92" s="13"/>
      <c r="D92" s="190">
        <v>0.3</v>
      </c>
      <c r="E92" s="190">
        <v>0.3</v>
      </c>
      <c r="F92" s="190">
        <v>0.3</v>
      </c>
      <c r="G92" s="33">
        <f t="shared" si="7"/>
        <v>0</v>
      </c>
      <c r="H92" s="33">
        <f t="shared" si="8"/>
        <v>100</v>
      </c>
    </row>
    <row r="93" spans="1:8" ht="37.5" customHeight="1">
      <c r="A93" s="173"/>
      <c r="B93" s="31" t="s">
        <v>236</v>
      </c>
      <c r="C93" s="13"/>
      <c r="D93" s="190">
        <v>0.9</v>
      </c>
      <c r="E93" s="190"/>
      <c r="F93" s="190"/>
      <c r="G93" s="33">
        <f t="shared" si="7"/>
        <v>0</v>
      </c>
      <c r="H93" s="99" t="e">
        <f t="shared" si="8"/>
        <v>#DIV/0!</v>
      </c>
    </row>
    <row r="94" spans="1:8" ht="25.5" customHeight="1">
      <c r="A94" s="281" t="s">
        <v>10</v>
      </c>
      <c r="B94" s="282"/>
      <c r="C94" s="13"/>
      <c r="D94" s="199"/>
      <c r="E94" s="199"/>
      <c r="F94" s="199"/>
      <c r="G94" s="210"/>
      <c r="H94" s="213"/>
    </row>
    <row r="95" spans="1:8" ht="21" customHeight="1">
      <c r="A95" s="284" t="s">
        <v>195</v>
      </c>
      <c r="B95" s="285"/>
      <c r="C95" s="220">
        <v>1035</v>
      </c>
      <c r="D95" s="199">
        <f>SUM(D96:D98)</f>
        <v>200.89999999999998</v>
      </c>
      <c r="E95" s="199">
        <f>SUM(E96:E97)</f>
        <v>165</v>
      </c>
      <c r="F95" s="199">
        <f>SUM(F96:F98)</f>
        <v>117.5</v>
      </c>
      <c r="G95" s="210">
        <f t="shared" si="7"/>
        <v>-47.5</v>
      </c>
      <c r="H95" s="210">
        <f t="shared" si="8"/>
        <v>71.212121212121218</v>
      </c>
    </row>
    <row r="96" spans="1:8" ht="25.5" customHeight="1">
      <c r="A96" s="9"/>
      <c r="B96" s="31" t="s">
        <v>129</v>
      </c>
      <c r="C96" s="225"/>
      <c r="D96" s="190">
        <v>52.1</v>
      </c>
      <c r="E96" s="211">
        <v>45</v>
      </c>
      <c r="F96" s="190">
        <v>93.5</v>
      </c>
      <c r="G96" s="33">
        <f t="shared" si="7"/>
        <v>48.5</v>
      </c>
      <c r="H96" s="33">
        <f t="shared" si="8"/>
        <v>207.7777777777778</v>
      </c>
    </row>
    <row r="97" spans="1:8" ht="24.75" customHeight="1">
      <c r="A97" s="9"/>
      <c r="B97" s="16" t="s">
        <v>133</v>
      </c>
      <c r="C97" s="223"/>
      <c r="D97" s="190">
        <v>132.19999999999999</v>
      </c>
      <c r="E97" s="211">
        <v>120</v>
      </c>
      <c r="F97" s="190"/>
      <c r="G97" s="33">
        <f t="shared" si="7"/>
        <v>-120</v>
      </c>
      <c r="H97" s="33">
        <f t="shared" si="8"/>
        <v>0</v>
      </c>
    </row>
    <row r="98" spans="1:8" ht="24.75" customHeight="1">
      <c r="A98" s="9"/>
      <c r="B98" s="16" t="s">
        <v>269</v>
      </c>
      <c r="C98" s="223"/>
      <c r="D98" s="190">
        <v>16.600000000000001</v>
      </c>
      <c r="E98" s="211"/>
      <c r="F98" s="190">
        <v>24</v>
      </c>
      <c r="G98" s="33">
        <f t="shared" si="7"/>
        <v>24</v>
      </c>
      <c r="H98" s="99" t="e">
        <f t="shared" si="8"/>
        <v>#DIV/0!</v>
      </c>
    </row>
    <row r="99" spans="1:8" ht="35.25" customHeight="1">
      <c r="A99" s="5"/>
      <c r="B99" s="280" t="s">
        <v>131</v>
      </c>
      <c r="C99" s="280"/>
      <c r="D99" s="287"/>
      <c r="E99" s="287"/>
      <c r="F99" s="280" t="s">
        <v>242</v>
      </c>
      <c r="G99" s="280"/>
      <c r="H99" s="280"/>
    </row>
    <row r="100" spans="1:8" ht="18.75" customHeight="1">
      <c r="A100" s="5"/>
      <c r="B100" s="239" t="s">
        <v>54</v>
      </c>
      <c r="C100" s="6"/>
      <c r="D100" s="288" t="s">
        <v>9</v>
      </c>
      <c r="E100" s="288"/>
      <c r="F100" s="283" t="s">
        <v>14</v>
      </c>
      <c r="G100" s="283"/>
      <c r="H100" s="283"/>
    </row>
    <row r="101" spans="1:8">
      <c r="B101" s="164"/>
    </row>
    <row r="102" spans="1:8">
      <c r="B102" s="164"/>
    </row>
    <row r="103" spans="1:8">
      <c r="B103" s="164"/>
    </row>
    <row r="104" spans="1:8">
      <c r="B104" s="164"/>
    </row>
    <row r="105" spans="1:8">
      <c r="B105" s="164"/>
    </row>
    <row r="106" spans="1:8">
      <c r="B106" s="164"/>
    </row>
    <row r="107" spans="1:8">
      <c r="B107" s="164"/>
    </row>
    <row r="108" spans="1:8">
      <c r="B108" s="164"/>
    </row>
    <row r="109" spans="1:8">
      <c r="B109" s="164"/>
    </row>
    <row r="110" spans="1:8">
      <c r="B110" s="164"/>
    </row>
    <row r="111" spans="1:8">
      <c r="B111" s="164"/>
    </row>
    <row r="112" spans="1:8">
      <c r="B112" s="164"/>
    </row>
    <row r="113" spans="2:2">
      <c r="B113" s="164"/>
    </row>
    <row r="114" spans="2:2">
      <c r="B114" s="164"/>
    </row>
    <row r="115" spans="2:2">
      <c r="B115" s="164"/>
    </row>
    <row r="116" spans="2:2">
      <c r="B116" s="164"/>
    </row>
    <row r="117" spans="2:2">
      <c r="B117" s="164"/>
    </row>
    <row r="118" spans="2:2">
      <c r="B118" s="164"/>
    </row>
    <row r="119" spans="2:2">
      <c r="B119" s="164"/>
    </row>
    <row r="120" spans="2:2">
      <c r="B120" s="164"/>
    </row>
    <row r="121" spans="2:2">
      <c r="B121" s="164"/>
    </row>
    <row r="122" spans="2:2">
      <c r="B122" s="164"/>
    </row>
    <row r="123" spans="2:2">
      <c r="B123" s="164"/>
    </row>
    <row r="124" spans="2:2">
      <c r="B124" s="164"/>
    </row>
    <row r="125" spans="2:2">
      <c r="B125" s="164"/>
    </row>
    <row r="126" spans="2:2">
      <c r="B126" s="164"/>
    </row>
    <row r="127" spans="2:2">
      <c r="B127" s="164"/>
    </row>
    <row r="128" spans="2:2">
      <c r="B128" s="164"/>
    </row>
    <row r="129" spans="2:2">
      <c r="B129" s="164"/>
    </row>
    <row r="130" spans="2:2">
      <c r="B130" s="164"/>
    </row>
    <row r="131" spans="2:2">
      <c r="B131" s="164"/>
    </row>
    <row r="132" spans="2:2">
      <c r="B132" s="164"/>
    </row>
    <row r="133" spans="2:2">
      <c r="B133" s="164"/>
    </row>
    <row r="134" spans="2:2">
      <c r="B134" s="164"/>
    </row>
    <row r="135" spans="2:2">
      <c r="B135" s="164"/>
    </row>
    <row r="136" spans="2:2">
      <c r="B136" s="164"/>
    </row>
    <row r="137" spans="2:2">
      <c r="B137" s="164"/>
    </row>
    <row r="138" spans="2:2">
      <c r="B138" s="164"/>
    </row>
    <row r="139" spans="2:2">
      <c r="B139" s="164"/>
    </row>
    <row r="140" spans="2:2">
      <c r="B140" s="164"/>
    </row>
    <row r="141" spans="2:2">
      <c r="B141" s="164"/>
    </row>
    <row r="142" spans="2:2">
      <c r="B142" s="164"/>
    </row>
    <row r="143" spans="2:2">
      <c r="B143" s="164"/>
    </row>
    <row r="144" spans="2:2">
      <c r="B144" s="164"/>
    </row>
    <row r="145" spans="2:2">
      <c r="B145" s="164"/>
    </row>
    <row r="146" spans="2:2">
      <c r="B146" s="164"/>
    </row>
    <row r="147" spans="2:2">
      <c r="B147" s="164"/>
    </row>
    <row r="148" spans="2:2">
      <c r="B148" s="164"/>
    </row>
    <row r="149" spans="2:2">
      <c r="B149" s="164"/>
    </row>
    <row r="150" spans="2:2">
      <c r="B150" s="164"/>
    </row>
    <row r="151" spans="2:2">
      <c r="B151" s="164"/>
    </row>
    <row r="152" spans="2:2">
      <c r="B152" s="164"/>
    </row>
    <row r="153" spans="2:2">
      <c r="B153" s="164"/>
    </row>
    <row r="154" spans="2:2">
      <c r="B154" s="164"/>
    </row>
    <row r="155" spans="2:2">
      <c r="B155" s="164"/>
    </row>
    <row r="156" spans="2:2">
      <c r="B156" s="164"/>
    </row>
    <row r="157" spans="2:2">
      <c r="B157" s="164"/>
    </row>
    <row r="158" spans="2:2">
      <c r="B158" s="164"/>
    </row>
    <row r="159" spans="2:2">
      <c r="B159" s="164"/>
    </row>
    <row r="160" spans="2:2">
      <c r="B160" s="164"/>
    </row>
    <row r="161" spans="2:2">
      <c r="B161" s="164"/>
    </row>
    <row r="162" spans="2:2">
      <c r="B162" s="164"/>
    </row>
    <row r="163" spans="2:2">
      <c r="B163" s="164"/>
    </row>
    <row r="164" spans="2:2">
      <c r="B164" s="164"/>
    </row>
    <row r="165" spans="2:2">
      <c r="B165" s="164"/>
    </row>
    <row r="166" spans="2:2">
      <c r="B166" s="164"/>
    </row>
    <row r="167" spans="2:2">
      <c r="B167" s="164"/>
    </row>
    <row r="168" spans="2:2">
      <c r="B168" s="164"/>
    </row>
    <row r="169" spans="2:2">
      <c r="B169" s="164"/>
    </row>
    <row r="170" spans="2:2">
      <c r="B170" s="164"/>
    </row>
    <row r="171" spans="2:2">
      <c r="B171" s="164"/>
    </row>
    <row r="172" spans="2:2">
      <c r="B172" s="164"/>
    </row>
    <row r="173" spans="2:2">
      <c r="B173" s="164"/>
    </row>
    <row r="174" spans="2:2">
      <c r="B174" s="164"/>
    </row>
    <row r="175" spans="2:2">
      <c r="B175" s="164"/>
    </row>
    <row r="176" spans="2:2">
      <c r="B176" s="164"/>
    </row>
    <row r="177" spans="2:2">
      <c r="B177" s="164"/>
    </row>
    <row r="178" spans="2:2">
      <c r="B178" s="164"/>
    </row>
    <row r="179" spans="2:2">
      <c r="B179" s="164"/>
    </row>
    <row r="180" spans="2:2">
      <c r="B180" s="164"/>
    </row>
    <row r="181" spans="2:2">
      <c r="B181" s="164"/>
    </row>
    <row r="182" spans="2:2">
      <c r="B182" s="164"/>
    </row>
    <row r="183" spans="2:2">
      <c r="B183" s="164"/>
    </row>
    <row r="184" spans="2:2">
      <c r="B184" s="164"/>
    </row>
    <row r="185" spans="2:2">
      <c r="B185" s="164"/>
    </row>
    <row r="186" spans="2:2">
      <c r="B186" s="164"/>
    </row>
    <row r="187" spans="2:2">
      <c r="B187" s="164"/>
    </row>
    <row r="188" spans="2:2">
      <c r="B188" s="164"/>
    </row>
    <row r="189" spans="2:2">
      <c r="B189" s="164"/>
    </row>
    <row r="190" spans="2:2">
      <c r="B190" s="164"/>
    </row>
    <row r="191" spans="2:2">
      <c r="B191" s="164"/>
    </row>
    <row r="192" spans="2:2">
      <c r="B192" s="164"/>
    </row>
    <row r="193" spans="2:2">
      <c r="B193" s="164"/>
    </row>
    <row r="194" spans="2:2">
      <c r="B194" s="164"/>
    </row>
    <row r="195" spans="2:2">
      <c r="B195" s="164"/>
    </row>
    <row r="196" spans="2:2">
      <c r="B196" s="164"/>
    </row>
    <row r="197" spans="2:2">
      <c r="B197" s="164"/>
    </row>
    <row r="198" spans="2:2">
      <c r="B198" s="164"/>
    </row>
    <row r="199" spans="2:2">
      <c r="B199" s="164"/>
    </row>
    <row r="200" spans="2:2">
      <c r="B200" s="164"/>
    </row>
    <row r="201" spans="2:2">
      <c r="B201" s="164"/>
    </row>
    <row r="202" spans="2:2">
      <c r="B202" s="164"/>
    </row>
    <row r="203" spans="2:2">
      <c r="B203" s="164"/>
    </row>
    <row r="204" spans="2:2">
      <c r="B204" s="164"/>
    </row>
  </sheetData>
  <mergeCells count="20">
    <mergeCell ref="A1:H1"/>
    <mergeCell ref="D99:E99"/>
    <mergeCell ref="D100:E100"/>
    <mergeCell ref="B99:C99"/>
    <mergeCell ref="A26:B26"/>
    <mergeCell ref="A5:B5"/>
    <mergeCell ref="A6:B6"/>
    <mergeCell ref="A12:B12"/>
    <mergeCell ref="A21:B21"/>
    <mergeCell ref="A23:B23"/>
    <mergeCell ref="A28:B28"/>
    <mergeCell ref="A48:B48"/>
    <mergeCell ref="A77:B77"/>
    <mergeCell ref="F99:H99"/>
    <mergeCell ref="A27:B27"/>
    <mergeCell ref="A76:B76"/>
    <mergeCell ref="A94:B94"/>
    <mergeCell ref="F100:H100"/>
    <mergeCell ref="A81:B81"/>
    <mergeCell ref="A95:B95"/>
  </mergeCells>
  <printOptions horizontalCentered="1"/>
  <pageMargins left="0.39370078740157483" right="0.39370078740157483" top="0.78740157480314965" bottom="0.39370078740157483" header="0.39370078740157483" footer="0.19685039370078741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</sheetPr>
  <dimension ref="A1:R206"/>
  <sheetViews>
    <sheetView view="pageBreakPreview" zoomScale="70" zoomScaleNormal="70" zoomScaleSheetLayoutView="70" workbookViewId="0">
      <selection activeCell="G3" sqref="G3"/>
    </sheetView>
  </sheetViews>
  <sheetFormatPr defaultRowHeight="18.75"/>
  <cols>
    <col min="1" max="1" width="9" style="103" customWidth="1"/>
    <col min="2" max="2" width="59" style="103" customWidth="1"/>
    <col min="3" max="3" width="9.42578125" style="30" customWidth="1"/>
    <col min="4" max="4" width="16.7109375" style="177" customWidth="1"/>
    <col min="5" max="5" width="16.7109375" style="183" customWidth="1"/>
    <col min="6" max="6" width="16.7109375" style="30" customWidth="1"/>
    <col min="7" max="7" width="14.7109375" style="103" customWidth="1"/>
    <col min="8" max="8" width="14.140625" style="230" customWidth="1"/>
    <col min="9" max="9" width="15.42578125" style="103" customWidth="1"/>
    <col min="10" max="10" width="16.85546875" style="104" bestFit="1" customWidth="1"/>
    <col min="11" max="11" width="15.7109375" style="110" customWidth="1"/>
    <col min="12" max="12" width="16" style="154" customWidth="1"/>
    <col min="13" max="13" width="17.140625" style="154" customWidth="1"/>
    <col min="14" max="14" width="16.7109375" style="103" customWidth="1"/>
    <col min="15" max="15" width="11.28515625" style="103" bestFit="1" customWidth="1"/>
    <col min="16" max="16" width="12.7109375" style="103" customWidth="1"/>
    <col min="17" max="17" width="5.7109375" style="103" customWidth="1"/>
    <col min="18" max="16384" width="9.140625" style="103"/>
  </cols>
  <sheetData>
    <row r="1" spans="1:18" ht="47.25" customHeight="1">
      <c r="A1" s="108"/>
      <c r="B1" s="295" t="s">
        <v>100</v>
      </c>
      <c r="C1" s="295"/>
      <c r="D1" s="295"/>
      <c r="E1" s="295"/>
      <c r="F1" s="295"/>
      <c r="G1" s="295"/>
      <c r="H1" s="295"/>
    </row>
    <row r="2" spans="1:18" ht="18.75" customHeight="1">
      <c r="A2" s="108"/>
      <c r="B2" s="241"/>
      <c r="C2" s="240"/>
      <c r="D2" s="241"/>
      <c r="E2" s="241"/>
      <c r="F2" s="241"/>
      <c r="G2" s="108"/>
      <c r="H2" s="108" t="s">
        <v>59</v>
      </c>
    </row>
    <row r="3" spans="1:18" s="105" customFormat="1" ht="63" customHeight="1">
      <c r="A3" s="29" t="s">
        <v>6</v>
      </c>
      <c r="B3" s="29" t="s">
        <v>20</v>
      </c>
      <c r="C3" s="29" t="s">
        <v>4</v>
      </c>
      <c r="D3" s="9" t="s">
        <v>247</v>
      </c>
      <c r="E3" s="29" t="s">
        <v>299</v>
      </c>
      <c r="F3" s="9" t="s">
        <v>300</v>
      </c>
      <c r="G3" s="9" t="s">
        <v>182</v>
      </c>
      <c r="H3" s="9" t="s">
        <v>183</v>
      </c>
      <c r="J3" s="109"/>
      <c r="K3" s="110"/>
      <c r="L3" s="110"/>
      <c r="M3" s="110"/>
    </row>
    <row r="4" spans="1:18" s="105" customFormat="1" ht="19.5" customHeight="1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>
        <v>8</v>
      </c>
      <c r="J4" s="109"/>
      <c r="K4" s="110"/>
      <c r="L4" s="110"/>
      <c r="M4" s="110"/>
    </row>
    <row r="5" spans="1:18" s="105" customFormat="1" ht="31.5" customHeight="1">
      <c r="A5" s="284" t="s">
        <v>70</v>
      </c>
      <c r="B5" s="285"/>
      <c r="C5" s="114"/>
      <c r="D5" s="27">
        <f>SUM(D6,D67,D72,D77,D82,D99,D105,D116,D121,D136,D142,D147,D161,D165)</f>
        <v>81171.399999999994</v>
      </c>
      <c r="E5" s="27">
        <f>SUM(E6,E67,E72,E77,E82,E99,E105,E116,E121,E136,E142,E147,E161,E165)</f>
        <v>93674.499999999985</v>
      </c>
      <c r="F5" s="27">
        <f>SUM(F6,F67,F72,F77,F82,F99,F105,F116,F121,F136,F142,F147,F161,F165)</f>
        <v>93721.500000000015</v>
      </c>
      <c r="G5" s="68">
        <f t="shared" ref="G5" si="0">F5-E5</f>
        <v>47.000000000029104</v>
      </c>
      <c r="H5" s="68">
        <f t="shared" ref="H5" si="1">(F5/E5)*100</f>
        <v>100.05017373991858</v>
      </c>
      <c r="I5" s="111"/>
      <c r="J5" s="110"/>
      <c r="K5" s="110"/>
      <c r="L5" s="110"/>
      <c r="M5" s="110"/>
    </row>
    <row r="6" spans="1:18" s="105" customFormat="1" ht="41.25" customHeight="1">
      <c r="A6" s="13" t="s">
        <v>71</v>
      </c>
      <c r="B6" s="173" t="s">
        <v>101</v>
      </c>
      <c r="C6" s="174"/>
      <c r="D6" s="27">
        <f>SUM(D8,D47,D61)</f>
        <v>62568.200000000004</v>
      </c>
      <c r="E6" s="27">
        <f>SUM(E8,E47,E61)</f>
        <v>80361.899999999994</v>
      </c>
      <c r="F6" s="27">
        <f>SUM(F8,F47,F61)</f>
        <v>74962.8</v>
      </c>
      <c r="G6" s="68">
        <f>F6-E6</f>
        <v>-5399.0999999999913</v>
      </c>
      <c r="H6" s="68">
        <f>(F6/E6)*100</f>
        <v>93.281517734150142</v>
      </c>
      <c r="I6" s="111"/>
      <c r="J6" s="110"/>
      <c r="K6" s="110"/>
      <c r="L6" s="110"/>
      <c r="M6" s="110"/>
      <c r="N6" s="112"/>
    </row>
    <row r="7" spans="1:18" s="105" customFormat="1" ht="24" customHeight="1">
      <c r="A7" s="9"/>
      <c r="B7" s="113" t="s">
        <v>72</v>
      </c>
      <c r="C7" s="114"/>
      <c r="D7" s="26"/>
      <c r="E7" s="26"/>
      <c r="F7" s="26"/>
      <c r="G7" s="68"/>
      <c r="H7" s="68"/>
      <c r="J7" s="109"/>
      <c r="K7" s="110"/>
      <c r="L7" s="110"/>
      <c r="M7" s="110"/>
    </row>
    <row r="8" spans="1:18" s="105" customFormat="1" ht="43.5" customHeight="1">
      <c r="A8" s="115" t="s">
        <v>73</v>
      </c>
      <c r="B8" s="20" t="s">
        <v>76</v>
      </c>
      <c r="C8" s="116">
        <v>1010</v>
      </c>
      <c r="D8" s="117">
        <f>SUM(D9,D20,D21,D23,D22)</f>
        <v>57401.200000000004</v>
      </c>
      <c r="E8" s="117">
        <f>SUM(E9,E20,E21,E22,E23)</f>
        <v>73889.899999999994</v>
      </c>
      <c r="F8" s="117">
        <f>SUM(F9,F19,F20,F21,F23,F22)</f>
        <v>69764.5</v>
      </c>
      <c r="G8" s="118">
        <f t="shared" ref="G8:G16" si="2">F8-E8</f>
        <v>-4125.3999999999942</v>
      </c>
      <c r="H8" s="118">
        <f t="shared" ref="H8:H9" si="3">(F8/E8)*100</f>
        <v>94.416828280996469</v>
      </c>
      <c r="I8" s="111"/>
      <c r="J8" s="109"/>
      <c r="K8" s="155">
        <f>K9+K16+K23</f>
        <v>81171.400000000009</v>
      </c>
      <c r="L8" s="155">
        <f>L9+L16+L23</f>
        <v>93674.500000000015</v>
      </c>
      <c r="M8" s="155">
        <f>M9+M16+M23</f>
        <v>93721.5</v>
      </c>
      <c r="N8" s="148"/>
      <c r="P8" s="112"/>
    </row>
    <row r="9" spans="1:18" s="105" customFormat="1" ht="22.5" customHeight="1">
      <c r="A9" s="119" t="s">
        <v>158</v>
      </c>
      <c r="B9" s="113" t="s">
        <v>89</v>
      </c>
      <c r="C9" s="128">
        <v>1011</v>
      </c>
      <c r="D9" s="126">
        <f>SUM(D10:D18)</f>
        <v>13418.5</v>
      </c>
      <c r="E9" s="126">
        <f>SUM(E10:E18)</f>
        <v>25896.5</v>
      </c>
      <c r="F9" s="126">
        <f>SUM(F10:F18)</f>
        <v>21795.7</v>
      </c>
      <c r="G9" s="129">
        <f t="shared" si="2"/>
        <v>-4100.7999999999993</v>
      </c>
      <c r="H9" s="129">
        <f t="shared" si="3"/>
        <v>84.164655455370422</v>
      </c>
      <c r="I9" s="111"/>
      <c r="J9" s="109">
        <v>1010</v>
      </c>
      <c r="K9" s="155">
        <f>SUM(D8,D69,D74,D79,D84,D101,D107,D123,D138,D144,D149,D167)</f>
        <v>75491.3</v>
      </c>
      <c r="L9" s="155">
        <f>SUM(E8,E69,E74,E79,E84,E101,E107,E123,E138,E144,E149,E167)</f>
        <v>86277.400000000009</v>
      </c>
      <c r="M9" s="155">
        <f>SUM(F8,F69,F74,F79,F84,F101,F107,F123,F138,F144,F149,F167)</f>
        <v>87475</v>
      </c>
      <c r="N9" s="148"/>
    </row>
    <row r="10" spans="1:18" s="105" customFormat="1" ht="37.5">
      <c r="A10" s="120"/>
      <c r="B10" s="28" t="s">
        <v>185</v>
      </c>
      <c r="C10" s="9"/>
      <c r="D10" s="26"/>
      <c r="E10" s="189">
        <v>5</v>
      </c>
      <c r="F10" s="26">
        <v>43.9</v>
      </c>
      <c r="G10" s="19">
        <f t="shared" si="2"/>
        <v>38.9</v>
      </c>
      <c r="H10" s="244">
        <f>G10/F10*100</f>
        <v>88.610478359908882</v>
      </c>
      <c r="I10" s="112"/>
      <c r="J10" s="109">
        <v>1011</v>
      </c>
      <c r="K10" s="156">
        <f>SUM(D9,D80,D85,D102,D108,D124,D139,D145,D150,)</f>
        <v>24673.700000000004</v>
      </c>
      <c r="L10" s="156">
        <f t="shared" ref="L10:M10" si="4">SUM(E9,E80,E85,E102,E108,E124,E139,E145,E150,)</f>
        <v>31259.199999999997</v>
      </c>
      <c r="M10" s="156">
        <f t="shared" si="4"/>
        <v>31973.4</v>
      </c>
      <c r="N10" s="148"/>
    </row>
    <row r="11" spans="1:18" s="105" customFormat="1" ht="38.25" customHeight="1">
      <c r="A11" s="120"/>
      <c r="B11" s="16" t="s">
        <v>320</v>
      </c>
      <c r="C11" s="9"/>
      <c r="D11" s="26">
        <v>110.5</v>
      </c>
      <c r="E11" s="189">
        <v>70</v>
      </c>
      <c r="F11" s="26">
        <v>178.9</v>
      </c>
      <c r="G11" s="19">
        <f t="shared" si="2"/>
        <v>108.9</v>
      </c>
      <c r="H11" s="19">
        <f t="shared" ref="H11:H16" si="5">G11/F11*100</f>
        <v>60.871995528228062</v>
      </c>
      <c r="I11" s="112"/>
      <c r="J11" s="109">
        <v>1012</v>
      </c>
      <c r="K11" s="156">
        <f>SUM(D19,D20,D70,D75,)</f>
        <v>35468.200000000004</v>
      </c>
      <c r="L11" s="156">
        <f>SUM(E19,E20,E70,E75,)</f>
        <v>38662.9</v>
      </c>
      <c r="M11" s="156">
        <f>SUM(F19,F20,F70,F75,)</f>
        <v>38156.9</v>
      </c>
      <c r="N11" s="148"/>
    </row>
    <row r="12" spans="1:18" s="105" customFormat="1" ht="21" customHeight="1">
      <c r="A12" s="120"/>
      <c r="B12" s="31" t="s">
        <v>138</v>
      </c>
      <c r="C12" s="9"/>
      <c r="D12" s="26">
        <v>23.7</v>
      </c>
      <c r="E12" s="190">
        <v>60</v>
      </c>
      <c r="F12" s="26">
        <v>42.1</v>
      </c>
      <c r="G12" s="19">
        <f t="shared" si="2"/>
        <v>-17.899999999999999</v>
      </c>
      <c r="H12" s="19">
        <f t="shared" si="5"/>
        <v>-42.517814726840854</v>
      </c>
      <c r="I12" s="112"/>
      <c r="J12" s="109">
        <v>1013</v>
      </c>
      <c r="K12" s="156">
        <f>SUM(D21,D71,D76,)</f>
        <v>7690.5999999999995</v>
      </c>
      <c r="L12" s="156">
        <f>SUM(E21,E71,E76,)</f>
        <v>8417.9</v>
      </c>
      <c r="M12" s="156">
        <f>SUM(F21,F71,F76,)</f>
        <v>8279.7999999999993</v>
      </c>
      <c r="N12" s="148"/>
    </row>
    <row r="13" spans="1:18" s="105" customFormat="1" ht="21.75" customHeight="1">
      <c r="A13" s="120"/>
      <c r="B13" s="31" t="s">
        <v>112</v>
      </c>
      <c r="C13" s="9"/>
      <c r="D13" s="26"/>
      <c r="E13" s="189">
        <v>5</v>
      </c>
      <c r="F13" s="26">
        <v>2.2000000000000002</v>
      </c>
      <c r="G13" s="19">
        <f t="shared" ref="G13" si="6">F13-E13</f>
        <v>-2.8</v>
      </c>
      <c r="H13" s="19">
        <f t="shared" ref="H13" si="7">G13/F13*100</f>
        <v>-127.27272727272725</v>
      </c>
      <c r="I13" s="112"/>
      <c r="J13" s="109">
        <v>1014</v>
      </c>
      <c r="K13" s="156">
        <f>SUM(D22,D168)</f>
        <v>6986</v>
      </c>
      <c r="L13" s="156">
        <f>SUM(E22,E168)</f>
        <v>6900</v>
      </c>
      <c r="M13" s="156">
        <f>SUM(F22,F168)</f>
        <v>7958.4</v>
      </c>
      <c r="N13" s="148"/>
    </row>
    <row r="14" spans="1:18" s="105" customFormat="1" ht="36.75" customHeight="1">
      <c r="A14" s="120"/>
      <c r="B14" s="31" t="s">
        <v>251</v>
      </c>
      <c r="C14" s="9"/>
      <c r="D14" s="26">
        <v>92.3</v>
      </c>
      <c r="E14" s="189">
        <v>150</v>
      </c>
      <c r="F14" s="26">
        <v>203.5</v>
      </c>
      <c r="G14" s="19">
        <f t="shared" si="2"/>
        <v>53.5</v>
      </c>
      <c r="H14" s="19">
        <f t="shared" si="5"/>
        <v>26.289926289926292</v>
      </c>
      <c r="I14" s="112"/>
      <c r="J14" s="121">
        <v>1015</v>
      </c>
      <c r="K14" s="156">
        <f>SUM(D23,D134,D153)</f>
        <v>672.8</v>
      </c>
      <c r="L14" s="156">
        <f>SUM(E23,E134,E153)</f>
        <v>1037.4000000000001</v>
      </c>
      <c r="M14" s="156">
        <f>SUM(F23,F134,F153)</f>
        <v>1106.5000000000002</v>
      </c>
      <c r="N14" s="123"/>
      <c r="O14" s="124"/>
      <c r="R14" s="124"/>
    </row>
    <row r="15" spans="1:18" s="105" customFormat="1" ht="22.5" customHeight="1">
      <c r="A15" s="120"/>
      <c r="B15" s="16" t="s">
        <v>140</v>
      </c>
      <c r="C15" s="9"/>
      <c r="D15" s="26"/>
      <c r="E15" s="189">
        <v>1.5</v>
      </c>
      <c r="F15" s="26">
        <v>36.6</v>
      </c>
      <c r="G15" s="19">
        <f t="shared" si="2"/>
        <v>35.1</v>
      </c>
      <c r="H15" s="244">
        <f t="shared" si="5"/>
        <v>95.901639344262293</v>
      </c>
      <c r="I15" s="121"/>
      <c r="J15" s="109"/>
      <c r="K15" s="125"/>
      <c r="L15" s="154"/>
      <c r="M15" s="154"/>
      <c r="N15" s="103"/>
    </row>
    <row r="16" spans="1:18" s="105" customFormat="1" ht="22.5" customHeight="1">
      <c r="A16" s="120"/>
      <c r="B16" s="16" t="s">
        <v>142</v>
      </c>
      <c r="C16" s="9"/>
      <c r="D16" s="26"/>
      <c r="E16" s="189">
        <v>5</v>
      </c>
      <c r="F16" s="26"/>
      <c r="G16" s="19">
        <f t="shared" si="2"/>
        <v>-5</v>
      </c>
      <c r="H16" s="244" t="e">
        <f t="shared" si="5"/>
        <v>#DIV/0!</v>
      </c>
      <c r="I16" s="121"/>
      <c r="J16" s="109">
        <v>1020</v>
      </c>
      <c r="K16" s="155">
        <f>SUM(D47,D93,D113,D118,D158,)</f>
        <v>3578.3000000000006</v>
      </c>
      <c r="L16" s="110">
        <f>SUM(E47,E93,E113,E118,E158,)</f>
        <v>4402.1000000000004</v>
      </c>
      <c r="M16" s="110">
        <f>SUM(F47,F93,F113,F118,F158,)</f>
        <v>3709.7000000000007</v>
      </c>
      <c r="N16" s="103"/>
    </row>
    <row r="17" spans="1:14" s="105" customFormat="1" ht="22.5" customHeight="1">
      <c r="A17" s="120"/>
      <c r="B17" s="16" t="s">
        <v>110</v>
      </c>
      <c r="C17" s="9"/>
      <c r="D17" s="26">
        <f>12145.2+291.5</f>
        <v>12436.7</v>
      </c>
      <c r="E17" s="190">
        <v>25000</v>
      </c>
      <c r="F17" s="26">
        <v>20518.3</v>
      </c>
      <c r="G17" s="19">
        <f t="shared" ref="G17:G57" si="8">F17-E17</f>
        <v>-4481.7000000000007</v>
      </c>
      <c r="H17" s="19">
        <f t="shared" ref="H17:H60" si="9">(F17/E17)*100</f>
        <v>82.0732</v>
      </c>
      <c r="J17" s="109">
        <v>1021</v>
      </c>
      <c r="K17" s="156">
        <f>SUM(D48,D119,)</f>
        <v>85</v>
      </c>
      <c r="L17" s="156">
        <f>SUM(E48,E119,)</f>
        <v>55</v>
      </c>
      <c r="M17" s="156">
        <f>SUM(F48,F119,)</f>
        <v>42.1</v>
      </c>
      <c r="N17" s="122"/>
    </row>
    <row r="18" spans="1:14" s="105" customFormat="1" ht="22.5" customHeight="1">
      <c r="A18" s="120"/>
      <c r="B18" s="16" t="s">
        <v>130</v>
      </c>
      <c r="C18" s="9"/>
      <c r="D18" s="26">
        <v>755.3</v>
      </c>
      <c r="E18" s="191">
        <v>600</v>
      </c>
      <c r="F18" s="26">
        <v>770.2</v>
      </c>
      <c r="G18" s="19">
        <f t="shared" si="8"/>
        <v>170.20000000000005</v>
      </c>
      <c r="H18" s="19">
        <f t="shared" si="9"/>
        <v>128.36666666666667</v>
      </c>
      <c r="I18" s="127"/>
      <c r="J18" s="109">
        <v>1022</v>
      </c>
      <c r="K18" s="156">
        <f>SUM(D52,)</f>
        <v>2790</v>
      </c>
      <c r="L18" s="156">
        <f t="shared" ref="L18:M18" si="10">SUM(E52,)</f>
        <v>3400</v>
      </c>
      <c r="M18" s="156">
        <f t="shared" si="10"/>
        <v>2879.9</v>
      </c>
    </row>
    <row r="19" spans="1:14" s="105" customFormat="1" ht="22.5" customHeight="1">
      <c r="A19" s="119" t="s">
        <v>159</v>
      </c>
      <c r="B19" s="135" t="s">
        <v>324</v>
      </c>
      <c r="C19" s="128">
        <v>1012</v>
      </c>
      <c r="D19" s="26"/>
      <c r="E19" s="191"/>
      <c r="F19" s="126">
        <v>195.9</v>
      </c>
      <c r="G19" s="19">
        <f t="shared" si="8"/>
        <v>195.9</v>
      </c>
      <c r="H19" s="19">
        <f t="shared" ref="H19" si="11">G19/F19*100</f>
        <v>100</v>
      </c>
      <c r="I19" s="127"/>
      <c r="J19" s="109">
        <v>1023</v>
      </c>
      <c r="K19" s="156">
        <f>SUM(D53,)</f>
        <v>537.79999999999995</v>
      </c>
      <c r="L19" s="156">
        <f t="shared" ref="L19:M19" si="12">SUM(E53,)</f>
        <v>680</v>
      </c>
      <c r="M19" s="156">
        <f t="shared" si="12"/>
        <v>552.79999999999995</v>
      </c>
    </row>
    <row r="20" spans="1:14" s="105" customFormat="1" ht="24" customHeight="1">
      <c r="A20" s="119" t="s">
        <v>160</v>
      </c>
      <c r="B20" s="113" t="s">
        <v>1</v>
      </c>
      <c r="C20" s="128">
        <v>1012</v>
      </c>
      <c r="D20" s="126">
        <v>35174.5</v>
      </c>
      <c r="E20" s="192">
        <v>38400</v>
      </c>
      <c r="F20" s="126">
        <v>37717</v>
      </c>
      <c r="G20" s="129">
        <f t="shared" si="8"/>
        <v>-683</v>
      </c>
      <c r="H20" s="129">
        <f t="shared" si="9"/>
        <v>98.221354166666657</v>
      </c>
      <c r="I20" s="127"/>
      <c r="J20" s="109">
        <v>1024</v>
      </c>
      <c r="K20" s="156"/>
      <c r="L20" s="156"/>
      <c r="M20" s="156"/>
      <c r="N20" s="112"/>
    </row>
    <row r="21" spans="1:14" s="105" customFormat="1" ht="21.75" customHeight="1">
      <c r="A21" s="119" t="s">
        <v>216</v>
      </c>
      <c r="B21" s="113" t="s">
        <v>2</v>
      </c>
      <c r="C21" s="128">
        <v>1013</v>
      </c>
      <c r="D21" s="126">
        <v>7626</v>
      </c>
      <c r="E21" s="192">
        <v>8360</v>
      </c>
      <c r="F21" s="126">
        <v>8226.1</v>
      </c>
      <c r="G21" s="129">
        <f t="shared" si="8"/>
        <v>-133.89999999999964</v>
      </c>
      <c r="H21" s="129">
        <f t="shared" si="9"/>
        <v>98.398325358851679</v>
      </c>
      <c r="I21" s="130"/>
      <c r="J21" s="109">
        <v>1025</v>
      </c>
      <c r="K21" s="156">
        <f>SUM(D54,D94,D114,D159,)</f>
        <v>165.5</v>
      </c>
      <c r="L21" s="156">
        <f>SUM(E54,E94,E114,E159,)</f>
        <v>267.10000000000002</v>
      </c>
      <c r="M21" s="156">
        <f>SUM(F54,F94,F114,F159,)</f>
        <v>234.90000000000003</v>
      </c>
      <c r="N21" s="103"/>
    </row>
    <row r="22" spans="1:14" s="105" customFormat="1" ht="25.5" customHeight="1">
      <c r="A22" s="119" t="s">
        <v>314</v>
      </c>
      <c r="B22" s="113" t="s">
        <v>3</v>
      </c>
      <c r="C22" s="128">
        <v>1014</v>
      </c>
      <c r="D22" s="126">
        <f>356.6+251.8</f>
        <v>608.40000000000009</v>
      </c>
      <c r="E22" s="192">
        <v>400</v>
      </c>
      <c r="F22" s="126">
        <f>581.1+180.3</f>
        <v>761.40000000000009</v>
      </c>
      <c r="G22" s="129">
        <f t="shared" ref="G22" si="13">F22-E22</f>
        <v>361.40000000000009</v>
      </c>
      <c r="H22" s="129">
        <f t="shared" si="9"/>
        <v>190.35000000000002</v>
      </c>
      <c r="I22" s="130"/>
      <c r="J22" s="109"/>
      <c r="K22" s="155"/>
      <c r="L22" s="156"/>
      <c r="M22" s="156"/>
      <c r="N22" s="103"/>
    </row>
    <row r="23" spans="1:14" s="105" customFormat="1" ht="22.5" customHeight="1">
      <c r="A23" s="119" t="s">
        <v>323</v>
      </c>
      <c r="B23" s="20" t="s">
        <v>79</v>
      </c>
      <c r="C23" s="116">
        <v>1015</v>
      </c>
      <c r="D23" s="117">
        <f>SUM(D24:D46)</f>
        <v>573.79999999999995</v>
      </c>
      <c r="E23" s="117">
        <f>SUM(E24:E46)</f>
        <v>833.40000000000009</v>
      </c>
      <c r="F23" s="117">
        <f>SUM(F24:F46)</f>
        <v>1068.4000000000003</v>
      </c>
      <c r="G23" s="118">
        <f>F23-E23</f>
        <v>235.00000000000023</v>
      </c>
      <c r="H23" s="118">
        <f>(F23/E23)*100</f>
        <v>128.19774418046558</v>
      </c>
      <c r="J23" s="109">
        <v>1030</v>
      </c>
      <c r="K23" s="155">
        <f>SUM(D61,D163,D169)</f>
        <v>2101.7999999999997</v>
      </c>
      <c r="L23" s="155">
        <f>SUM(E61,E163,E169)</f>
        <v>2995</v>
      </c>
      <c r="M23" s="155">
        <f>SUM(F61,F163,F169)</f>
        <v>2536.8000000000002</v>
      </c>
      <c r="N23" s="122"/>
    </row>
    <row r="24" spans="1:14" ht="36.75" customHeight="1">
      <c r="A24" s="120"/>
      <c r="B24" s="28" t="s">
        <v>186</v>
      </c>
      <c r="C24" s="9"/>
      <c r="D24" s="26">
        <v>7.6</v>
      </c>
      <c r="E24" s="190">
        <v>25</v>
      </c>
      <c r="F24" s="26">
        <f>3.5+5.2</f>
        <v>8.6999999999999993</v>
      </c>
      <c r="G24" s="19">
        <f t="shared" si="8"/>
        <v>-16.3</v>
      </c>
      <c r="H24" s="19">
        <f t="shared" si="9"/>
        <v>34.799999999999997</v>
      </c>
      <c r="I24" s="122"/>
      <c r="J24" s="109">
        <v>1031</v>
      </c>
      <c r="K24" s="154"/>
      <c r="N24" s="122"/>
    </row>
    <row r="25" spans="1:14" ht="36.75" customHeight="1">
      <c r="A25" s="120"/>
      <c r="B25" s="31" t="s">
        <v>187</v>
      </c>
      <c r="C25" s="9"/>
      <c r="D25" s="26">
        <v>4.5</v>
      </c>
      <c r="E25" s="190">
        <v>6.5</v>
      </c>
      <c r="F25" s="26">
        <f>1+1.8+1.7+1.6</f>
        <v>6.1</v>
      </c>
      <c r="G25" s="19">
        <f t="shared" si="8"/>
        <v>-0.40000000000000036</v>
      </c>
      <c r="H25" s="19">
        <f t="shared" si="9"/>
        <v>93.84615384615384</v>
      </c>
      <c r="J25" s="109">
        <v>1032</v>
      </c>
      <c r="K25" s="154">
        <f>SUM(D62,)</f>
        <v>1218.3</v>
      </c>
      <c r="L25" s="154">
        <f t="shared" ref="L25:M25" si="14">SUM(E62,)</f>
        <v>1650</v>
      </c>
      <c r="M25" s="154">
        <f t="shared" si="14"/>
        <v>1239</v>
      </c>
      <c r="N25" s="122"/>
    </row>
    <row r="26" spans="1:14" ht="22.5" customHeight="1">
      <c r="A26" s="120"/>
      <c r="B26" s="31" t="s">
        <v>116</v>
      </c>
      <c r="C26" s="13"/>
      <c r="D26" s="26">
        <v>12.2</v>
      </c>
      <c r="E26" s="190">
        <v>11</v>
      </c>
      <c r="F26" s="26">
        <v>11.6</v>
      </c>
      <c r="G26" s="19">
        <f t="shared" si="8"/>
        <v>0.59999999999999964</v>
      </c>
      <c r="H26" s="19">
        <f t="shared" si="9"/>
        <v>105.45454545454544</v>
      </c>
      <c r="J26" s="109">
        <v>1033</v>
      </c>
      <c r="K26" s="154">
        <f>SUM(D63,)</f>
        <v>238.8</v>
      </c>
      <c r="L26" s="154">
        <f t="shared" ref="L26:M26" si="15">SUM(E63,)</f>
        <v>330</v>
      </c>
      <c r="M26" s="154">
        <f t="shared" si="15"/>
        <v>235.7</v>
      </c>
      <c r="N26" s="122"/>
    </row>
    <row r="27" spans="1:14" ht="22.5" customHeight="1">
      <c r="A27" s="120"/>
      <c r="B27" s="31" t="s">
        <v>188</v>
      </c>
      <c r="C27" s="13"/>
      <c r="D27" s="26">
        <v>3.6</v>
      </c>
      <c r="E27" s="190">
        <v>4</v>
      </c>
      <c r="F27" s="26">
        <f>1.4</f>
        <v>1.4</v>
      </c>
      <c r="G27" s="19">
        <f t="shared" si="8"/>
        <v>-2.6</v>
      </c>
      <c r="H27" s="19">
        <f t="shared" si="9"/>
        <v>35</v>
      </c>
      <c r="I27" s="131"/>
      <c r="J27" s="109">
        <v>1034</v>
      </c>
      <c r="K27" s="154">
        <f>SUM(D170)</f>
        <v>443.8</v>
      </c>
      <c r="L27" s="154">
        <f t="shared" ref="L27:M27" si="16">SUM(E170)</f>
        <v>850</v>
      </c>
      <c r="M27" s="154">
        <f t="shared" si="16"/>
        <v>944.6</v>
      </c>
    </row>
    <row r="28" spans="1:14" ht="21.75" customHeight="1">
      <c r="A28" s="120"/>
      <c r="B28" s="31" t="s">
        <v>249</v>
      </c>
      <c r="C28" s="13"/>
      <c r="D28" s="26">
        <v>182.4</v>
      </c>
      <c r="E28" s="190">
        <v>120</v>
      </c>
      <c r="F28" s="26">
        <f>67+80+8.1</f>
        <v>155.1</v>
      </c>
      <c r="G28" s="19">
        <f t="shared" si="8"/>
        <v>35.099999999999994</v>
      </c>
      <c r="H28" s="19">
        <f t="shared" si="9"/>
        <v>129.25</v>
      </c>
      <c r="I28" s="122"/>
      <c r="J28" s="109">
        <v>1035</v>
      </c>
      <c r="K28" s="154">
        <f>SUM(D64,D164)</f>
        <v>200.89999999999998</v>
      </c>
      <c r="L28" s="154">
        <f>SUM(E64,E164)</f>
        <v>165</v>
      </c>
      <c r="M28" s="154">
        <f>SUM(F64,F164)</f>
        <v>117.5</v>
      </c>
    </row>
    <row r="29" spans="1:14" ht="37.5" customHeight="1">
      <c r="A29" s="120"/>
      <c r="B29" s="31" t="s">
        <v>189</v>
      </c>
      <c r="C29" s="13"/>
      <c r="D29" s="26">
        <v>14.4</v>
      </c>
      <c r="E29" s="190">
        <v>19.5</v>
      </c>
      <c r="F29" s="26">
        <f>5.8+2.2+12.8+3.1</f>
        <v>23.900000000000002</v>
      </c>
      <c r="G29" s="19">
        <f t="shared" si="8"/>
        <v>4.4000000000000021</v>
      </c>
      <c r="H29" s="19">
        <f t="shared" si="9"/>
        <v>122.56410256410257</v>
      </c>
      <c r="I29" s="122"/>
      <c r="J29" s="109"/>
      <c r="K29" s="158"/>
      <c r="N29" s="122"/>
    </row>
    <row r="30" spans="1:14" ht="21" customHeight="1">
      <c r="A30" s="120"/>
      <c r="B30" s="31" t="s">
        <v>119</v>
      </c>
      <c r="C30" s="13"/>
      <c r="D30" s="190">
        <v>11.6</v>
      </c>
      <c r="E30" s="190">
        <v>11.6</v>
      </c>
      <c r="F30" s="190">
        <f>2.9+10</f>
        <v>12.9</v>
      </c>
      <c r="G30" s="19">
        <f t="shared" si="8"/>
        <v>1.3000000000000007</v>
      </c>
      <c r="H30" s="19">
        <f t="shared" si="9"/>
        <v>111.20689655172416</v>
      </c>
      <c r="I30" s="122"/>
      <c r="J30" s="109">
        <v>9000</v>
      </c>
      <c r="K30" s="154">
        <f>K10+K17+K24</f>
        <v>24758.700000000004</v>
      </c>
      <c r="L30" s="154">
        <f t="shared" ref="L30:M30" si="17">L10+L17+L24</f>
        <v>31314.199999999997</v>
      </c>
      <c r="M30" s="154">
        <f t="shared" si="17"/>
        <v>32015.5</v>
      </c>
      <c r="N30" s="127"/>
    </row>
    <row r="31" spans="1:14" ht="21" customHeight="1">
      <c r="A31" s="120"/>
      <c r="B31" s="31" t="s">
        <v>120</v>
      </c>
      <c r="C31" s="9"/>
      <c r="D31" s="190">
        <v>11.6</v>
      </c>
      <c r="E31" s="190">
        <v>17</v>
      </c>
      <c r="F31" s="190">
        <f>2.6+5.9+38.2</f>
        <v>46.7</v>
      </c>
      <c r="G31" s="19">
        <f t="shared" si="8"/>
        <v>29.700000000000003</v>
      </c>
      <c r="H31" s="19">
        <f t="shared" si="9"/>
        <v>274.70588235294116</v>
      </c>
      <c r="J31" s="105">
        <v>9010</v>
      </c>
      <c r="K31" s="154">
        <f>K11+K18+K25</f>
        <v>39476.500000000007</v>
      </c>
      <c r="L31" s="103">
        <f t="shared" ref="L31:M31" si="18">L11+L18+L25</f>
        <v>43712.9</v>
      </c>
      <c r="M31" s="103">
        <f t="shared" si="18"/>
        <v>42275.8</v>
      </c>
      <c r="N31" s="127"/>
    </row>
    <row r="32" spans="1:14" ht="23.25" customHeight="1">
      <c r="A32" s="120"/>
      <c r="B32" s="132" t="s">
        <v>172</v>
      </c>
      <c r="C32" s="9"/>
      <c r="D32" s="26"/>
      <c r="E32" s="190"/>
      <c r="F32" s="26">
        <f>0.8+20.9</f>
        <v>21.7</v>
      </c>
      <c r="G32" s="19">
        <f t="shared" si="8"/>
        <v>21.7</v>
      </c>
      <c r="H32" s="244" t="e">
        <f t="shared" si="9"/>
        <v>#DIV/0!</v>
      </c>
      <c r="J32" s="109">
        <v>9020</v>
      </c>
      <c r="K32" s="154">
        <f>K12+K19+K26</f>
        <v>8467.1999999999989</v>
      </c>
      <c r="L32" s="154">
        <f t="shared" ref="L32:M32" si="19">L12+L19+L26</f>
        <v>9427.9</v>
      </c>
      <c r="M32" s="154">
        <f t="shared" si="19"/>
        <v>9068.2999999999993</v>
      </c>
      <c r="N32" s="111"/>
    </row>
    <row r="33" spans="1:13" ht="22.5" customHeight="1">
      <c r="A33" s="120"/>
      <c r="B33" s="31" t="s">
        <v>122</v>
      </c>
      <c r="C33" s="9"/>
      <c r="D33" s="26">
        <v>11.7</v>
      </c>
      <c r="E33" s="190">
        <v>13</v>
      </c>
      <c r="F33" s="26"/>
      <c r="G33" s="19">
        <f t="shared" si="8"/>
        <v>-13</v>
      </c>
      <c r="H33" s="19">
        <f t="shared" si="9"/>
        <v>0</v>
      </c>
      <c r="J33" s="109">
        <v>9030</v>
      </c>
      <c r="K33" s="154">
        <f>K13+K20+K27</f>
        <v>7429.8</v>
      </c>
      <c r="L33" s="154">
        <f t="shared" ref="L33:M33" si="20">L13+L20+L27</f>
        <v>7750</v>
      </c>
      <c r="M33" s="154">
        <f t="shared" si="20"/>
        <v>8903</v>
      </c>
    </row>
    <row r="34" spans="1:13" ht="56.25" customHeight="1">
      <c r="A34" s="120"/>
      <c r="B34" s="31" t="s">
        <v>315</v>
      </c>
      <c r="C34" s="9"/>
      <c r="D34" s="26"/>
      <c r="E34" s="190"/>
      <c r="F34" s="26">
        <f>204.4+183</f>
        <v>387.4</v>
      </c>
      <c r="G34" s="19">
        <f t="shared" si="8"/>
        <v>387.4</v>
      </c>
      <c r="H34" s="244" t="e">
        <f t="shared" si="9"/>
        <v>#DIV/0!</v>
      </c>
      <c r="J34" s="109">
        <v>9040</v>
      </c>
      <c r="K34" s="154">
        <f>K14+K21+K28</f>
        <v>1039.1999999999998</v>
      </c>
      <c r="L34" s="154">
        <f t="shared" ref="L34:M34" si="21">L14+L21+L28</f>
        <v>1469.5</v>
      </c>
      <c r="M34" s="154">
        <f t="shared" si="21"/>
        <v>1458.9000000000003</v>
      </c>
    </row>
    <row r="35" spans="1:13" ht="41.25" customHeight="1">
      <c r="A35" s="120"/>
      <c r="B35" s="16" t="s">
        <v>171</v>
      </c>
      <c r="C35" s="133"/>
      <c r="D35" s="26"/>
      <c r="E35" s="190">
        <v>6</v>
      </c>
      <c r="F35" s="26"/>
      <c r="G35" s="19">
        <f t="shared" si="8"/>
        <v>-6</v>
      </c>
      <c r="H35" s="19">
        <f t="shared" si="9"/>
        <v>0</v>
      </c>
      <c r="J35" s="109">
        <v>9050</v>
      </c>
      <c r="K35" s="110">
        <f>SUM(K30:K34)</f>
        <v>81171.400000000009</v>
      </c>
      <c r="L35" s="110">
        <f>SUM(L30:L34)</f>
        <v>93674.5</v>
      </c>
      <c r="M35" s="110">
        <f>SUM(M30:M34)</f>
        <v>93721.5</v>
      </c>
    </row>
    <row r="36" spans="1:13" ht="138.75" customHeight="1">
      <c r="A36" s="120"/>
      <c r="B36" s="16" t="s">
        <v>317</v>
      </c>
      <c r="C36" s="9"/>
      <c r="D36" s="26">
        <f>9+2.4+5+5.6+63+10</f>
        <v>95</v>
      </c>
      <c r="E36" s="190">
        <v>160</v>
      </c>
      <c r="F36" s="26">
        <f>16.3+6.9+171.9+18.5</f>
        <v>213.60000000000002</v>
      </c>
      <c r="G36" s="19">
        <f t="shared" si="8"/>
        <v>53.600000000000023</v>
      </c>
      <c r="H36" s="19">
        <f t="shared" si="9"/>
        <v>133.50000000000003</v>
      </c>
      <c r="J36" s="109"/>
      <c r="K36" s="154"/>
    </row>
    <row r="37" spans="1:13" ht="21.75" customHeight="1">
      <c r="A37" s="120"/>
      <c r="B37" s="31" t="s">
        <v>250</v>
      </c>
      <c r="C37" s="9"/>
      <c r="D37" s="26">
        <v>2.7</v>
      </c>
      <c r="E37" s="190">
        <v>2.5</v>
      </c>
      <c r="F37" s="26">
        <v>1.4</v>
      </c>
      <c r="G37" s="19">
        <f t="shared" si="8"/>
        <v>-1.1000000000000001</v>
      </c>
      <c r="H37" s="19">
        <f t="shared" si="9"/>
        <v>55.999999999999993</v>
      </c>
      <c r="J37" s="109"/>
      <c r="L37" s="110"/>
      <c r="M37" s="110"/>
    </row>
    <row r="38" spans="1:13" ht="20.25" customHeight="1">
      <c r="A38" s="120"/>
      <c r="B38" s="31" t="s">
        <v>144</v>
      </c>
      <c r="C38" s="9"/>
      <c r="D38" s="26">
        <v>0.5</v>
      </c>
      <c r="E38" s="190">
        <v>0.3</v>
      </c>
      <c r="F38" s="26"/>
      <c r="G38" s="19">
        <f t="shared" si="8"/>
        <v>-0.3</v>
      </c>
      <c r="H38" s="19">
        <f t="shared" si="9"/>
        <v>0</v>
      </c>
    </row>
    <row r="39" spans="1:13" ht="21" customHeight="1">
      <c r="A39" s="120"/>
      <c r="B39" s="31" t="s">
        <v>209</v>
      </c>
      <c r="C39" s="9"/>
      <c r="D39" s="26">
        <v>27</v>
      </c>
      <c r="E39" s="190">
        <v>27</v>
      </c>
      <c r="F39" s="26">
        <v>29.7</v>
      </c>
      <c r="G39" s="19">
        <f t="shared" si="8"/>
        <v>2.6999999999999993</v>
      </c>
      <c r="H39" s="19">
        <f t="shared" si="9"/>
        <v>109.99999999999999</v>
      </c>
    </row>
    <row r="40" spans="1:13" ht="81" customHeight="1">
      <c r="A40" s="120"/>
      <c r="B40" s="16" t="s">
        <v>313</v>
      </c>
      <c r="C40" s="9"/>
      <c r="D40" s="26"/>
      <c r="E40" s="190">
        <v>100</v>
      </c>
      <c r="F40" s="26">
        <f>10.5+8.7</f>
        <v>19.2</v>
      </c>
      <c r="G40" s="19">
        <f t="shared" ref="G40:G46" si="22">F40-E40</f>
        <v>-80.8</v>
      </c>
      <c r="H40" s="19">
        <f t="shared" ref="H40:H46" si="23">(F40/E40)*100</f>
        <v>19.2</v>
      </c>
      <c r="J40" s="154"/>
    </row>
    <row r="41" spans="1:13" ht="25.5" customHeight="1">
      <c r="A41" s="120"/>
      <c r="B41" s="31" t="s">
        <v>128</v>
      </c>
      <c r="C41" s="9"/>
      <c r="D41" s="26">
        <v>19.7</v>
      </c>
      <c r="E41" s="190">
        <v>100</v>
      </c>
      <c r="F41" s="26"/>
      <c r="G41" s="19">
        <f t="shared" si="22"/>
        <v>-100</v>
      </c>
      <c r="H41" s="19">
        <f t="shared" si="23"/>
        <v>0</v>
      </c>
    </row>
    <row r="42" spans="1:13" ht="24" customHeight="1">
      <c r="A42" s="120"/>
      <c r="B42" s="31" t="s">
        <v>157</v>
      </c>
      <c r="C42" s="9"/>
      <c r="D42" s="26">
        <v>146.30000000000001</v>
      </c>
      <c r="E42" s="190">
        <v>150</v>
      </c>
      <c r="F42" s="26">
        <v>107.4</v>
      </c>
      <c r="G42" s="19">
        <f t="shared" si="22"/>
        <v>-42.599999999999994</v>
      </c>
      <c r="H42" s="19">
        <f t="shared" si="23"/>
        <v>71.600000000000009</v>
      </c>
    </row>
    <row r="43" spans="1:13" ht="21" customHeight="1">
      <c r="A43" s="120"/>
      <c r="B43" s="31" t="s">
        <v>305</v>
      </c>
      <c r="C43" s="9"/>
      <c r="D43" s="26"/>
      <c r="E43" s="190">
        <v>10</v>
      </c>
      <c r="F43" s="26">
        <v>14.7</v>
      </c>
      <c r="G43" s="19">
        <f t="shared" si="22"/>
        <v>4.6999999999999993</v>
      </c>
      <c r="H43" s="19">
        <f t="shared" si="23"/>
        <v>147</v>
      </c>
    </row>
    <row r="44" spans="1:13" ht="21" customHeight="1">
      <c r="A44" s="120"/>
      <c r="B44" s="16" t="s">
        <v>215</v>
      </c>
      <c r="C44" s="9"/>
      <c r="D44" s="26"/>
      <c r="E44" s="190"/>
      <c r="F44" s="26"/>
      <c r="G44" s="19">
        <f t="shared" si="22"/>
        <v>0</v>
      </c>
      <c r="H44" s="244" t="e">
        <f t="shared" si="23"/>
        <v>#DIV/0!</v>
      </c>
    </row>
    <row r="45" spans="1:13" ht="95.25" customHeight="1">
      <c r="A45" s="120"/>
      <c r="B45" s="16" t="s">
        <v>306</v>
      </c>
      <c r="C45" s="9"/>
      <c r="D45" s="26"/>
      <c r="E45" s="190">
        <v>50</v>
      </c>
      <c r="F45" s="26"/>
      <c r="G45" s="19">
        <f t="shared" si="22"/>
        <v>-50</v>
      </c>
      <c r="H45" s="19">
        <f t="shared" si="23"/>
        <v>0</v>
      </c>
    </row>
    <row r="46" spans="1:13" ht="39.75" customHeight="1">
      <c r="A46" s="120"/>
      <c r="B46" s="16" t="s">
        <v>316</v>
      </c>
      <c r="C46" s="9"/>
      <c r="D46" s="26">
        <v>23</v>
      </c>
      <c r="E46" s="26"/>
      <c r="F46" s="26">
        <v>6.9</v>
      </c>
      <c r="G46" s="19">
        <f t="shared" si="22"/>
        <v>6.9</v>
      </c>
      <c r="H46" s="244" t="e">
        <f t="shared" si="23"/>
        <v>#DIV/0!</v>
      </c>
    </row>
    <row r="47" spans="1:13" ht="21.75" customHeight="1">
      <c r="A47" s="115" t="s">
        <v>74</v>
      </c>
      <c r="B47" s="134" t="s">
        <v>77</v>
      </c>
      <c r="C47" s="116">
        <v>1020</v>
      </c>
      <c r="D47" s="117">
        <f>SUM(D48,D52,D53,D54)</f>
        <v>3525.6000000000004</v>
      </c>
      <c r="E47" s="117">
        <f>SUM(E48,E52,E53,E54)</f>
        <v>4327</v>
      </c>
      <c r="F47" s="117">
        <f>SUM(F48,F52,F53,F54)</f>
        <v>3630.1000000000004</v>
      </c>
      <c r="G47" s="118">
        <f t="shared" si="8"/>
        <v>-696.89999999999964</v>
      </c>
      <c r="H47" s="118">
        <f t="shared" si="9"/>
        <v>83.894152992835686</v>
      </c>
    </row>
    <row r="48" spans="1:13" s="105" customFormat="1" ht="20.25" customHeight="1">
      <c r="A48" s="119" t="s">
        <v>161</v>
      </c>
      <c r="B48" s="113" t="s">
        <v>89</v>
      </c>
      <c r="C48" s="128">
        <v>1021</v>
      </c>
      <c r="D48" s="126">
        <f>SUM(D49:D50)</f>
        <v>85</v>
      </c>
      <c r="E48" s="126">
        <f>SUM(E49:E51)</f>
        <v>52</v>
      </c>
      <c r="F48" s="126">
        <f>SUM(F49:F50)</f>
        <v>42.1</v>
      </c>
      <c r="G48" s="129">
        <f t="shared" si="8"/>
        <v>-9.8999999999999986</v>
      </c>
      <c r="H48" s="129">
        <f t="shared" si="9"/>
        <v>80.961538461538467</v>
      </c>
      <c r="J48" s="109"/>
      <c r="K48" s="110"/>
      <c r="L48" s="110"/>
      <c r="M48" s="110"/>
    </row>
    <row r="49" spans="1:13" ht="20.25" customHeight="1">
      <c r="A49" s="102"/>
      <c r="B49" s="31" t="s">
        <v>138</v>
      </c>
      <c r="C49" s="9"/>
      <c r="D49" s="26">
        <v>85</v>
      </c>
      <c r="E49" s="189">
        <v>40</v>
      </c>
      <c r="F49" s="26">
        <v>42.1</v>
      </c>
      <c r="G49" s="19">
        <f t="shared" si="8"/>
        <v>2.1000000000000014</v>
      </c>
      <c r="H49" s="19">
        <f t="shared" si="9"/>
        <v>105.25</v>
      </c>
    </row>
    <row r="50" spans="1:13" ht="22.5" customHeight="1">
      <c r="A50" s="102"/>
      <c r="B50" s="31" t="s">
        <v>113</v>
      </c>
      <c r="C50" s="9"/>
      <c r="D50" s="26"/>
      <c r="E50" s="189">
        <v>7</v>
      </c>
      <c r="F50" s="26"/>
      <c r="G50" s="19">
        <f t="shared" si="8"/>
        <v>-7</v>
      </c>
      <c r="H50" s="244" t="e">
        <f t="shared" ref="H50" si="24">G50/F50*100</f>
        <v>#DIV/0!</v>
      </c>
    </row>
    <row r="51" spans="1:13" ht="36" customHeight="1">
      <c r="A51" s="102"/>
      <c r="B51" s="16" t="s">
        <v>308</v>
      </c>
      <c r="C51" s="9"/>
      <c r="D51" s="26"/>
      <c r="E51" s="189">
        <v>5</v>
      </c>
      <c r="F51" s="26"/>
      <c r="G51" s="19">
        <f t="shared" ref="G51" si="25">F51-E51</f>
        <v>-5</v>
      </c>
      <c r="H51" s="244">
        <f t="shared" ref="H51" si="26">(F51/E51)*100</f>
        <v>0</v>
      </c>
    </row>
    <row r="52" spans="1:13" s="105" customFormat="1" ht="18" customHeight="1">
      <c r="A52" s="119" t="s">
        <v>162</v>
      </c>
      <c r="B52" s="113" t="s">
        <v>1</v>
      </c>
      <c r="C52" s="128">
        <v>1022</v>
      </c>
      <c r="D52" s="126">
        <v>2790</v>
      </c>
      <c r="E52" s="193">
        <v>3400</v>
      </c>
      <c r="F52" s="126">
        <v>2879.9</v>
      </c>
      <c r="G52" s="129">
        <f t="shared" si="8"/>
        <v>-520.09999999999991</v>
      </c>
      <c r="H52" s="129">
        <f t="shared" si="9"/>
        <v>84.702941176470588</v>
      </c>
      <c r="J52" s="109"/>
      <c r="K52" s="110"/>
      <c r="L52" s="110"/>
      <c r="M52" s="110"/>
    </row>
    <row r="53" spans="1:13" s="105" customFormat="1" ht="21.75" customHeight="1">
      <c r="A53" s="119" t="s">
        <v>163</v>
      </c>
      <c r="B53" s="113" t="s">
        <v>2</v>
      </c>
      <c r="C53" s="128">
        <v>1023</v>
      </c>
      <c r="D53" s="126">
        <v>537.79999999999995</v>
      </c>
      <c r="E53" s="193">
        <v>680</v>
      </c>
      <c r="F53" s="126">
        <v>552.79999999999995</v>
      </c>
      <c r="G53" s="129">
        <f t="shared" si="8"/>
        <v>-127.20000000000005</v>
      </c>
      <c r="H53" s="129">
        <f t="shared" si="9"/>
        <v>81.294117647058812</v>
      </c>
      <c r="J53" s="109"/>
      <c r="K53" s="110"/>
      <c r="L53" s="110"/>
      <c r="M53" s="110"/>
    </row>
    <row r="54" spans="1:13" s="105" customFormat="1" ht="17.25" customHeight="1">
      <c r="A54" s="119" t="s">
        <v>232</v>
      </c>
      <c r="B54" s="135" t="s">
        <v>149</v>
      </c>
      <c r="C54" s="128">
        <v>1025</v>
      </c>
      <c r="D54" s="194">
        <f>SUM(D55:D60)</f>
        <v>112.8</v>
      </c>
      <c r="E54" s="194">
        <f>SUM(E55:E60)</f>
        <v>195</v>
      </c>
      <c r="F54" s="194">
        <f>SUM(F55:F60)</f>
        <v>155.30000000000001</v>
      </c>
      <c r="G54" s="129">
        <f t="shared" si="8"/>
        <v>-39.699999999999989</v>
      </c>
      <c r="H54" s="129">
        <f t="shared" si="9"/>
        <v>79.641025641025635</v>
      </c>
      <c r="J54" s="109"/>
      <c r="K54" s="110"/>
      <c r="L54" s="110"/>
      <c r="M54" s="110"/>
    </row>
    <row r="55" spans="1:13" ht="17.25" customHeight="1">
      <c r="A55" s="102"/>
      <c r="B55" s="31" t="s">
        <v>236</v>
      </c>
      <c r="C55" s="13"/>
      <c r="D55" s="26">
        <v>0.9</v>
      </c>
      <c r="E55" s="195"/>
      <c r="F55" s="26"/>
      <c r="G55" s="19">
        <f t="shared" si="8"/>
        <v>0</v>
      </c>
      <c r="H55" s="19"/>
    </row>
    <row r="56" spans="1:13" ht="18" customHeight="1">
      <c r="A56" s="102"/>
      <c r="B56" s="28" t="s">
        <v>115</v>
      </c>
      <c r="C56" s="9"/>
      <c r="D56" s="190">
        <v>26.1</v>
      </c>
      <c r="E56" s="190">
        <v>30</v>
      </c>
      <c r="F56" s="190">
        <f>2.6+20.5+2.3</f>
        <v>25.400000000000002</v>
      </c>
      <c r="G56" s="19">
        <f t="shared" si="8"/>
        <v>-4.5999999999999979</v>
      </c>
      <c r="H56" s="19">
        <f t="shared" si="9"/>
        <v>84.666666666666686</v>
      </c>
    </row>
    <row r="57" spans="1:13" ht="18" customHeight="1">
      <c r="A57" s="102"/>
      <c r="B57" s="31" t="s">
        <v>170</v>
      </c>
      <c r="C57" s="9"/>
      <c r="D57" s="190">
        <f>21.1+22</f>
        <v>43.1</v>
      </c>
      <c r="E57" s="190">
        <v>70</v>
      </c>
      <c r="F57" s="190">
        <f>2.9+20.3+12+1.2+1.6+3.6</f>
        <v>41.600000000000009</v>
      </c>
      <c r="G57" s="19">
        <f t="shared" si="8"/>
        <v>-28.399999999999991</v>
      </c>
      <c r="H57" s="19">
        <f t="shared" si="9"/>
        <v>59.428571428571445</v>
      </c>
    </row>
    <row r="58" spans="1:13" ht="36.75" customHeight="1">
      <c r="A58" s="102"/>
      <c r="B58" s="196" t="s">
        <v>307</v>
      </c>
      <c r="C58" s="9"/>
      <c r="D58" s="190"/>
      <c r="E58" s="190">
        <v>40</v>
      </c>
      <c r="F58" s="190">
        <f>1.1+15.6+19.8</f>
        <v>36.5</v>
      </c>
      <c r="G58" s="19">
        <f t="shared" ref="G58" si="27">F58-E58</f>
        <v>-3.5</v>
      </c>
      <c r="H58" s="19">
        <f t="shared" ref="H58" si="28">(F58/E58)*100</f>
        <v>91.25</v>
      </c>
    </row>
    <row r="59" spans="1:13" ht="18" customHeight="1">
      <c r="A59" s="102"/>
      <c r="B59" s="31" t="s">
        <v>146</v>
      </c>
      <c r="C59" s="9"/>
      <c r="D59" s="190">
        <v>33.700000000000003</v>
      </c>
      <c r="E59" s="190">
        <v>25</v>
      </c>
      <c r="F59" s="190">
        <v>36.799999999999997</v>
      </c>
      <c r="G59" s="19">
        <f t="shared" ref="G59:G61" si="29">F59-E59</f>
        <v>11.799999999999997</v>
      </c>
      <c r="H59" s="19">
        <f t="shared" si="9"/>
        <v>147.19999999999999</v>
      </c>
    </row>
    <row r="60" spans="1:13" ht="18" customHeight="1">
      <c r="A60" s="102"/>
      <c r="B60" s="16" t="s">
        <v>147</v>
      </c>
      <c r="C60" s="9"/>
      <c r="D60" s="26">
        <v>9</v>
      </c>
      <c r="E60" s="190">
        <v>30</v>
      </c>
      <c r="F60" s="26">
        <f>15</f>
        <v>15</v>
      </c>
      <c r="G60" s="19">
        <f t="shared" si="29"/>
        <v>-15</v>
      </c>
      <c r="H60" s="19">
        <f t="shared" si="9"/>
        <v>50</v>
      </c>
    </row>
    <row r="61" spans="1:13" ht="21" customHeight="1">
      <c r="A61" s="115" t="s">
        <v>164</v>
      </c>
      <c r="B61" s="136" t="s">
        <v>10</v>
      </c>
      <c r="C61" s="116">
        <v>1030</v>
      </c>
      <c r="D61" s="117">
        <f>SUM(D62,D63,D64)</f>
        <v>1641.3999999999999</v>
      </c>
      <c r="E61" s="117">
        <f>SUM(E62,E63,E64)</f>
        <v>2145</v>
      </c>
      <c r="F61" s="117">
        <f>SUM(F62,F63,F64)</f>
        <v>1568.2</v>
      </c>
      <c r="G61" s="118">
        <f t="shared" si="29"/>
        <v>-576.79999999999995</v>
      </c>
      <c r="H61" s="118">
        <f t="shared" ref="H61" si="30">(F61/E61)*100</f>
        <v>73.109557109557116</v>
      </c>
    </row>
    <row r="62" spans="1:13" s="105" customFormat="1" ht="23.25" customHeight="1">
      <c r="A62" s="119" t="s">
        <v>233</v>
      </c>
      <c r="B62" s="135" t="s">
        <v>1</v>
      </c>
      <c r="C62" s="128">
        <v>1032</v>
      </c>
      <c r="D62" s="126">
        <v>1218.3</v>
      </c>
      <c r="E62" s="197">
        <v>1650</v>
      </c>
      <c r="F62" s="126">
        <v>1239</v>
      </c>
      <c r="G62" s="129">
        <f t="shared" ref="G62" si="31">F62-E62</f>
        <v>-411</v>
      </c>
      <c r="H62" s="129">
        <f t="shared" ref="H62" si="32">(F62/E62)*100</f>
        <v>75.090909090909079</v>
      </c>
      <c r="J62" s="109"/>
      <c r="K62" s="110"/>
      <c r="L62" s="110"/>
      <c r="M62" s="110"/>
    </row>
    <row r="63" spans="1:13" s="105" customFormat="1" ht="22.5" customHeight="1">
      <c r="A63" s="119" t="s">
        <v>199</v>
      </c>
      <c r="B63" s="135" t="s">
        <v>201</v>
      </c>
      <c r="C63" s="137">
        <v>1033</v>
      </c>
      <c r="D63" s="126">
        <v>238.8</v>
      </c>
      <c r="E63" s="198">
        <v>330</v>
      </c>
      <c r="F63" s="126">
        <v>235.7</v>
      </c>
      <c r="G63" s="129">
        <f t="shared" ref="G63:G65" si="33">F63-E63</f>
        <v>-94.300000000000011</v>
      </c>
      <c r="H63" s="129">
        <f t="shared" ref="H63:H65" si="34">(F63/E63)*100</f>
        <v>71.424242424242422</v>
      </c>
      <c r="J63" s="109"/>
      <c r="K63" s="110"/>
      <c r="L63" s="110"/>
      <c r="M63" s="110"/>
    </row>
    <row r="64" spans="1:13" s="105" customFormat="1" ht="21" customHeight="1">
      <c r="A64" s="119" t="s">
        <v>200</v>
      </c>
      <c r="B64" s="113" t="s">
        <v>195</v>
      </c>
      <c r="C64" s="128">
        <v>1035</v>
      </c>
      <c r="D64" s="126">
        <f>D65+D66</f>
        <v>184.29999999999998</v>
      </c>
      <c r="E64" s="126">
        <f t="shared" ref="E64" si="35">E65+E66</f>
        <v>165</v>
      </c>
      <c r="F64" s="126">
        <f>F65+F66</f>
        <v>93.5</v>
      </c>
      <c r="G64" s="129">
        <f t="shared" si="33"/>
        <v>-71.5</v>
      </c>
      <c r="H64" s="129">
        <f t="shared" si="34"/>
        <v>56.666666666666664</v>
      </c>
      <c r="J64" s="109"/>
      <c r="K64" s="110"/>
      <c r="L64" s="110"/>
      <c r="M64" s="110"/>
    </row>
    <row r="65" spans="1:13" ht="23.25" customHeight="1">
      <c r="A65" s="102"/>
      <c r="B65" s="31" t="s">
        <v>129</v>
      </c>
      <c r="C65" s="9"/>
      <c r="D65" s="26">
        <v>52.1</v>
      </c>
      <c r="E65" s="190">
        <v>45</v>
      </c>
      <c r="F65" s="26">
        <v>93.5</v>
      </c>
      <c r="G65" s="19">
        <f t="shared" si="33"/>
        <v>48.5</v>
      </c>
      <c r="H65" s="19">
        <f t="shared" si="34"/>
        <v>207.7777777777778</v>
      </c>
    </row>
    <row r="66" spans="1:13" ht="24.75" customHeight="1">
      <c r="A66" s="102"/>
      <c r="B66" s="28" t="s">
        <v>133</v>
      </c>
      <c r="C66" s="9"/>
      <c r="D66" s="26">
        <v>132.19999999999999</v>
      </c>
      <c r="E66" s="190">
        <v>120</v>
      </c>
      <c r="F66" s="26"/>
      <c r="G66" s="19">
        <f t="shared" ref="G66:G71" si="36">F66-E66</f>
        <v>-120</v>
      </c>
      <c r="H66" s="19">
        <f t="shared" ref="H66:H71" si="37">(F66/E66)*100</f>
        <v>0</v>
      </c>
    </row>
    <row r="67" spans="1:13" ht="101.25" customHeight="1">
      <c r="A67" s="245" t="s">
        <v>78</v>
      </c>
      <c r="B67" s="173" t="s">
        <v>266</v>
      </c>
      <c r="C67" s="13"/>
      <c r="D67" s="27">
        <f>D69</f>
        <v>282.2</v>
      </c>
      <c r="E67" s="199">
        <f>E69</f>
        <v>292.8</v>
      </c>
      <c r="F67" s="199">
        <f>F69</f>
        <v>259.89999999999998</v>
      </c>
      <c r="G67" s="68">
        <f t="shared" si="36"/>
        <v>-32.900000000000034</v>
      </c>
      <c r="H67" s="68">
        <f t="shared" si="37"/>
        <v>88.763661202185787</v>
      </c>
    </row>
    <row r="68" spans="1:13" ht="21" customHeight="1">
      <c r="A68" s="149"/>
      <c r="B68" s="113" t="s">
        <v>72</v>
      </c>
      <c r="C68" s="9"/>
      <c r="D68" s="26"/>
      <c r="E68" s="190"/>
      <c r="F68" s="26"/>
      <c r="G68" s="19"/>
      <c r="H68" s="19"/>
    </row>
    <row r="69" spans="1:13" ht="39" customHeight="1">
      <c r="A69" s="150" t="s">
        <v>155</v>
      </c>
      <c r="B69" s="20" t="s">
        <v>76</v>
      </c>
      <c r="C69" s="116">
        <v>1010</v>
      </c>
      <c r="D69" s="151">
        <f t="shared" ref="D69" si="38">D70+D71</f>
        <v>282.2</v>
      </c>
      <c r="E69" s="151">
        <f t="shared" ref="E69:F69" si="39">E70+E71</f>
        <v>292.8</v>
      </c>
      <c r="F69" s="151">
        <f t="shared" si="39"/>
        <v>259.89999999999998</v>
      </c>
      <c r="G69" s="118">
        <f t="shared" si="36"/>
        <v>-32.900000000000034</v>
      </c>
      <c r="H69" s="166">
        <f t="shared" si="37"/>
        <v>88.763661202185787</v>
      </c>
    </row>
    <row r="70" spans="1:13" ht="24.75" customHeight="1">
      <c r="A70" s="152" t="s">
        <v>204</v>
      </c>
      <c r="B70" s="113" t="s">
        <v>1</v>
      </c>
      <c r="C70" s="128">
        <v>1012</v>
      </c>
      <c r="D70" s="126">
        <v>231.3</v>
      </c>
      <c r="E70" s="192">
        <v>240</v>
      </c>
      <c r="F70" s="126">
        <v>213</v>
      </c>
      <c r="G70" s="129">
        <f t="shared" si="36"/>
        <v>-27</v>
      </c>
      <c r="H70" s="246">
        <f t="shared" si="37"/>
        <v>88.75</v>
      </c>
    </row>
    <row r="71" spans="1:13" ht="22.5" customHeight="1">
      <c r="A71" s="152" t="s">
        <v>165</v>
      </c>
      <c r="B71" s="113" t="s">
        <v>2</v>
      </c>
      <c r="C71" s="128">
        <v>1013</v>
      </c>
      <c r="D71" s="126">
        <v>50.9</v>
      </c>
      <c r="E71" s="192">
        <v>52.8</v>
      </c>
      <c r="F71" s="126">
        <v>46.9</v>
      </c>
      <c r="G71" s="129">
        <f t="shared" si="36"/>
        <v>-5.8999999999999986</v>
      </c>
      <c r="H71" s="246">
        <f t="shared" si="37"/>
        <v>88.825757575757578</v>
      </c>
    </row>
    <row r="72" spans="1:13" ht="64.5" customHeight="1">
      <c r="A72" s="102" t="s">
        <v>226</v>
      </c>
      <c r="B72" s="247" t="s">
        <v>184</v>
      </c>
      <c r="C72" s="9"/>
      <c r="D72" s="27">
        <f t="shared" ref="D72" si="40">SUM(D74)</f>
        <v>76.099999999999994</v>
      </c>
      <c r="E72" s="27">
        <f t="shared" ref="E72:F72" si="41">SUM(E74)</f>
        <v>28</v>
      </c>
      <c r="F72" s="27">
        <f t="shared" si="41"/>
        <v>37.799999999999997</v>
      </c>
      <c r="G72" s="68">
        <f t="shared" ref="G72:G74" si="42">F72-E72</f>
        <v>9.7999999999999972</v>
      </c>
      <c r="H72" s="68">
        <f t="shared" ref="H72:H74" si="43">(F72/E72)*100</f>
        <v>135</v>
      </c>
    </row>
    <row r="73" spans="1:13" ht="24" customHeight="1">
      <c r="A73" s="102"/>
      <c r="B73" s="113" t="s">
        <v>72</v>
      </c>
      <c r="C73" s="9"/>
      <c r="D73" s="27"/>
      <c r="E73" s="27"/>
      <c r="F73" s="27"/>
      <c r="G73" s="68"/>
      <c r="H73" s="68"/>
    </row>
    <row r="74" spans="1:13" ht="40.5" customHeight="1">
      <c r="A74" s="115" t="s">
        <v>227</v>
      </c>
      <c r="B74" s="20" t="s">
        <v>76</v>
      </c>
      <c r="C74" s="116">
        <v>1010</v>
      </c>
      <c r="D74" s="117">
        <f>SUM(D75,D76)</f>
        <v>76.099999999999994</v>
      </c>
      <c r="E74" s="117">
        <f t="shared" ref="E74:F74" si="44">SUM(E75,E76)</f>
        <v>28</v>
      </c>
      <c r="F74" s="117">
        <f t="shared" si="44"/>
        <v>37.799999999999997</v>
      </c>
      <c r="G74" s="118">
        <f t="shared" si="42"/>
        <v>9.7999999999999972</v>
      </c>
      <c r="H74" s="118">
        <f t="shared" si="43"/>
        <v>135</v>
      </c>
    </row>
    <row r="75" spans="1:13" ht="24.75" customHeight="1">
      <c r="A75" s="119" t="s">
        <v>228</v>
      </c>
      <c r="B75" s="135" t="s">
        <v>1</v>
      </c>
      <c r="C75" s="128">
        <v>1012</v>
      </c>
      <c r="D75" s="126">
        <v>62.4</v>
      </c>
      <c r="E75" s="192">
        <v>22.9</v>
      </c>
      <c r="F75" s="126">
        <v>31</v>
      </c>
      <c r="G75" s="129">
        <f>F75-E75</f>
        <v>8.1000000000000014</v>
      </c>
      <c r="H75" s="129">
        <f>(F75/E75)*100</f>
        <v>135.37117903930132</v>
      </c>
    </row>
    <row r="76" spans="1:13" ht="24.75" customHeight="1">
      <c r="A76" s="119" t="s">
        <v>274</v>
      </c>
      <c r="B76" s="135" t="s">
        <v>2</v>
      </c>
      <c r="C76" s="128">
        <v>1013</v>
      </c>
      <c r="D76" s="126">
        <v>13.7</v>
      </c>
      <c r="E76" s="192">
        <v>5.0999999999999996</v>
      </c>
      <c r="F76" s="126">
        <v>6.8</v>
      </c>
      <c r="G76" s="129">
        <f>F76-E76</f>
        <v>1.7000000000000002</v>
      </c>
      <c r="H76" s="129">
        <f>(F76/E76)*100</f>
        <v>133.33333333333334</v>
      </c>
    </row>
    <row r="77" spans="1:13" ht="60.75" customHeight="1">
      <c r="A77" s="102" t="s">
        <v>86</v>
      </c>
      <c r="B77" s="173" t="s">
        <v>173</v>
      </c>
      <c r="C77" s="13"/>
      <c r="D77" s="27">
        <f>D79</f>
        <v>0.4</v>
      </c>
      <c r="E77" s="53">
        <f>E79</f>
        <v>0</v>
      </c>
      <c r="F77" s="53">
        <f>F79</f>
        <v>0</v>
      </c>
      <c r="G77" s="68">
        <f t="shared" ref="G77" si="45">F77-E77</f>
        <v>0</v>
      </c>
      <c r="H77" s="19"/>
    </row>
    <row r="78" spans="1:13" ht="28.5" customHeight="1">
      <c r="A78" s="102"/>
      <c r="B78" s="113" t="s">
        <v>72</v>
      </c>
      <c r="C78" s="13"/>
      <c r="D78" s="27"/>
      <c r="E78" s="53"/>
      <c r="F78" s="53"/>
      <c r="G78" s="68"/>
      <c r="H78" s="19"/>
    </row>
    <row r="79" spans="1:13" ht="39.75" customHeight="1">
      <c r="A79" s="115" t="s">
        <v>166</v>
      </c>
      <c r="B79" s="134" t="s">
        <v>150</v>
      </c>
      <c r="C79" s="116">
        <v>1010</v>
      </c>
      <c r="D79" s="117">
        <f t="shared" ref="D79:F79" si="46">D80</f>
        <v>0.4</v>
      </c>
      <c r="E79" s="138">
        <f t="shared" si="46"/>
        <v>0</v>
      </c>
      <c r="F79" s="138">
        <f t="shared" si="46"/>
        <v>0</v>
      </c>
      <c r="G79" s="118">
        <f>F79-E79</f>
        <v>0</v>
      </c>
      <c r="H79" s="248" t="e">
        <f>(F79/E79)*100</f>
        <v>#DIV/0!</v>
      </c>
    </row>
    <row r="80" spans="1:13" s="105" customFormat="1" ht="24" customHeight="1">
      <c r="A80" s="119" t="s">
        <v>167</v>
      </c>
      <c r="B80" s="113" t="s">
        <v>89</v>
      </c>
      <c r="C80" s="128">
        <v>1011</v>
      </c>
      <c r="D80" s="126">
        <f>D81</f>
        <v>0.4</v>
      </c>
      <c r="E80" s="139">
        <f>SUM(E81:E81)</f>
        <v>0</v>
      </c>
      <c r="F80" s="139">
        <f>SUM(F81:F81)</f>
        <v>0</v>
      </c>
      <c r="G80" s="129">
        <f t="shared" ref="G80:G81" si="47">F80-E80</f>
        <v>0</v>
      </c>
      <c r="H80" s="249" t="e">
        <f t="shared" ref="H80:H81" si="48">(F80/E80)*100</f>
        <v>#DIV/0!</v>
      </c>
      <c r="J80" s="109"/>
      <c r="K80" s="110"/>
      <c r="L80" s="110"/>
      <c r="M80" s="110"/>
    </row>
    <row r="81" spans="1:13" ht="24" customHeight="1">
      <c r="A81" s="120"/>
      <c r="B81" s="28" t="s">
        <v>110</v>
      </c>
      <c r="C81" s="9"/>
      <c r="D81" s="26">
        <v>0.4</v>
      </c>
      <c r="E81" s="139"/>
      <c r="F81" s="26"/>
      <c r="G81" s="19">
        <f t="shared" si="47"/>
        <v>0</v>
      </c>
      <c r="H81" s="244" t="e">
        <f t="shared" si="48"/>
        <v>#DIV/0!</v>
      </c>
    </row>
    <row r="82" spans="1:13" ht="45.75" customHeight="1">
      <c r="A82" s="13" t="s">
        <v>87</v>
      </c>
      <c r="B82" s="238" t="s">
        <v>272</v>
      </c>
      <c r="C82" s="13"/>
      <c r="D82" s="27">
        <f>SUM(D84,D93)</f>
        <v>4594.8999999999996</v>
      </c>
      <c r="E82" s="27">
        <f>SUM(E84,E93)</f>
        <v>5316.9000000000005</v>
      </c>
      <c r="F82" s="27">
        <f>SUM(F84,F93)</f>
        <v>6154.8</v>
      </c>
      <c r="G82" s="68">
        <f t="shared" ref="G82:G110" si="49">F82-E82</f>
        <v>837.89999999999964</v>
      </c>
      <c r="H82" s="68">
        <f t="shared" ref="H82:H105" si="50">(F82/E82)*100</f>
        <v>115.75918298256502</v>
      </c>
      <c r="I82" s="103">
        <v>6154.8</v>
      </c>
      <c r="J82" s="226">
        <v>6154.8</v>
      </c>
      <c r="K82" s="154"/>
    </row>
    <row r="83" spans="1:13" ht="26.25" customHeight="1">
      <c r="A83" s="9"/>
      <c r="B83" s="140" t="s">
        <v>72</v>
      </c>
      <c r="C83" s="9"/>
      <c r="D83" s="26"/>
      <c r="E83" s="26"/>
      <c r="F83" s="26"/>
      <c r="G83" s="19">
        <f t="shared" si="49"/>
        <v>0</v>
      </c>
      <c r="H83" s="19"/>
    </row>
    <row r="84" spans="1:13" ht="39" customHeight="1">
      <c r="A84" s="115" t="s">
        <v>90</v>
      </c>
      <c r="B84" s="20" t="s">
        <v>76</v>
      </c>
      <c r="C84" s="116">
        <v>1010</v>
      </c>
      <c r="D84" s="117">
        <f>SUM(D85,)</f>
        <v>4542.5</v>
      </c>
      <c r="E84" s="117">
        <f t="shared" ref="E84:F84" si="51">SUM(E85,)</f>
        <v>5246.6</v>
      </c>
      <c r="F84" s="117">
        <f t="shared" si="51"/>
        <v>6075.5</v>
      </c>
      <c r="G84" s="118">
        <f t="shared" si="49"/>
        <v>828.89999999999964</v>
      </c>
      <c r="H84" s="118">
        <f t="shared" si="50"/>
        <v>115.79880303434604</v>
      </c>
    </row>
    <row r="85" spans="1:13" s="105" customFormat="1" ht="25.5" customHeight="1">
      <c r="A85" s="119" t="s">
        <v>174</v>
      </c>
      <c r="B85" s="113" t="s">
        <v>89</v>
      </c>
      <c r="C85" s="128">
        <v>1011</v>
      </c>
      <c r="D85" s="126">
        <f>SUM(D86:D92)</f>
        <v>4542.5</v>
      </c>
      <c r="E85" s="126">
        <f>SUM(E86:E92)</f>
        <v>5246.6</v>
      </c>
      <c r="F85" s="126">
        <f>SUM(F86:F92)</f>
        <v>6075.5</v>
      </c>
      <c r="G85" s="129">
        <f t="shared" si="49"/>
        <v>828.89999999999964</v>
      </c>
      <c r="H85" s="129">
        <f t="shared" si="50"/>
        <v>115.79880303434604</v>
      </c>
      <c r="J85" s="109"/>
      <c r="K85" s="110"/>
      <c r="L85" s="110"/>
      <c r="M85" s="110"/>
    </row>
    <row r="86" spans="1:13" ht="23.25" customHeight="1">
      <c r="A86" s="120"/>
      <c r="B86" s="16" t="s">
        <v>110</v>
      </c>
      <c r="C86" s="9"/>
      <c r="D86" s="26">
        <f>3654.9-3194.9</f>
        <v>460</v>
      </c>
      <c r="E86" s="190">
        <v>195</v>
      </c>
      <c r="F86" s="26">
        <f>352.5-250.1+98.9-1.3</f>
        <v>200</v>
      </c>
      <c r="G86" s="19">
        <f t="shared" si="49"/>
        <v>5</v>
      </c>
      <c r="H86" s="19">
        <f t="shared" si="50"/>
        <v>102.56410256410255</v>
      </c>
    </row>
    <row r="87" spans="1:13" ht="20.25" customHeight="1">
      <c r="A87" s="120"/>
      <c r="B87" s="16" t="s">
        <v>309</v>
      </c>
      <c r="C87" s="9"/>
      <c r="D87" s="26"/>
      <c r="E87" s="190">
        <v>125</v>
      </c>
      <c r="F87" s="26"/>
      <c r="G87" s="19"/>
      <c r="H87" s="19"/>
    </row>
    <row r="88" spans="1:13" ht="21" customHeight="1">
      <c r="A88" s="120"/>
      <c r="B88" s="28" t="s">
        <v>132</v>
      </c>
      <c r="C88" s="9"/>
      <c r="D88" s="26">
        <v>104.6</v>
      </c>
      <c r="E88" s="190">
        <v>108.8</v>
      </c>
      <c r="F88" s="26">
        <v>5.6</v>
      </c>
      <c r="G88" s="19">
        <f t="shared" si="49"/>
        <v>-103.2</v>
      </c>
      <c r="H88" s="19">
        <f t="shared" si="50"/>
        <v>5.1470588235294112</v>
      </c>
      <c r="I88" s="103">
        <v>5.6</v>
      </c>
    </row>
    <row r="89" spans="1:13" ht="20.25" customHeight="1">
      <c r="A89" s="120"/>
      <c r="B89" s="28" t="s">
        <v>123</v>
      </c>
      <c r="C89" s="9"/>
      <c r="D89" s="26">
        <v>2536.1999999999998</v>
      </c>
      <c r="E89" s="190">
        <v>2827.5</v>
      </c>
      <c r="F89" s="26">
        <v>3163.7</v>
      </c>
      <c r="G89" s="19">
        <f t="shared" si="49"/>
        <v>336.19999999999982</v>
      </c>
      <c r="H89" s="19">
        <f t="shared" si="50"/>
        <v>111.89036251105216</v>
      </c>
      <c r="I89" s="127">
        <f>F89+F95</f>
        <v>3223.6</v>
      </c>
    </row>
    <row r="90" spans="1:13" ht="20.25" customHeight="1">
      <c r="A90" s="120"/>
      <c r="B90" s="28" t="s">
        <v>124</v>
      </c>
      <c r="C90" s="9"/>
      <c r="D90" s="26">
        <v>129.69999999999999</v>
      </c>
      <c r="E90" s="190">
        <v>112.9</v>
      </c>
      <c r="F90" s="26">
        <v>107.6</v>
      </c>
      <c r="G90" s="19">
        <f t="shared" si="49"/>
        <v>-5.3000000000000114</v>
      </c>
      <c r="H90" s="19">
        <f t="shared" si="50"/>
        <v>95.305580159433106</v>
      </c>
      <c r="I90" s="127">
        <f>F90+F96</f>
        <v>108.69999999999999</v>
      </c>
    </row>
    <row r="91" spans="1:13" ht="20.25" customHeight="1">
      <c r="A91" s="120"/>
      <c r="B91" s="28" t="s">
        <v>125</v>
      </c>
      <c r="C91" s="9"/>
      <c r="D91" s="26">
        <v>1239.7</v>
      </c>
      <c r="E91" s="190">
        <v>1793.5</v>
      </c>
      <c r="F91" s="26">
        <f>2515.8+1.3</f>
        <v>2517.1000000000004</v>
      </c>
      <c r="G91" s="19">
        <f t="shared" si="49"/>
        <v>723.60000000000036</v>
      </c>
      <c r="H91" s="19">
        <f t="shared" si="50"/>
        <v>140.34569277948148</v>
      </c>
      <c r="I91" s="127">
        <f>F91+F97</f>
        <v>2534.4000000000005</v>
      </c>
    </row>
    <row r="92" spans="1:13" ht="22.5" customHeight="1">
      <c r="A92" s="120"/>
      <c r="B92" s="28" t="s">
        <v>126</v>
      </c>
      <c r="C92" s="9"/>
      <c r="D92" s="26">
        <v>72.3</v>
      </c>
      <c r="E92" s="190">
        <v>83.9</v>
      </c>
      <c r="F92" s="26">
        <v>81.5</v>
      </c>
      <c r="G92" s="19">
        <f t="shared" si="49"/>
        <v>-2.4000000000000057</v>
      </c>
      <c r="H92" s="19">
        <f t="shared" si="50"/>
        <v>97.139451728247906</v>
      </c>
      <c r="I92" s="127">
        <f>F92+F98</f>
        <v>82.5</v>
      </c>
    </row>
    <row r="93" spans="1:13" ht="20.100000000000001" customHeight="1">
      <c r="A93" s="115" t="s">
        <v>240</v>
      </c>
      <c r="B93" s="134" t="s">
        <v>77</v>
      </c>
      <c r="C93" s="116">
        <v>1020</v>
      </c>
      <c r="D93" s="117">
        <f t="shared" ref="D93:F93" si="52">SUM(D94)</f>
        <v>52.4</v>
      </c>
      <c r="E93" s="117">
        <f t="shared" si="52"/>
        <v>70.300000000000011</v>
      </c>
      <c r="F93" s="117">
        <f t="shared" si="52"/>
        <v>79.3</v>
      </c>
      <c r="G93" s="118">
        <f t="shared" si="49"/>
        <v>8.9999999999999858</v>
      </c>
      <c r="H93" s="118">
        <f t="shared" si="50"/>
        <v>112.80227596017068</v>
      </c>
    </row>
    <row r="94" spans="1:13" s="105" customFormat="1" ht="21" customHeight="1">
      <c r="A94" s="119" t="s">
        <v>241</v>
      </c>
      <c r="B94" s="135" t="s">
        <v>149</v>
      </c>
      <c r="C94" s="128">
        <v>1025</v>
      </c>
      <c r="D94" s="141">
        <f t="shared" ref="D94:F94" si="53">SUM(D95:D98)</f>
        <v>52.4</v>
      </c>
      <c r="E94" s="141">
        <f>E95+E96+E97+E98</f>
        <v>70.300000000000011</v>
      </c>
      <c r="F94" s="141">
        <f t="shared" si="53"/>
        <v>79.3</v>
      </c>
      <c r="G94" s="129">
        <f t="shared" si="49"/>
        <v>8.9999999999999858</v>
      </c>
      <c r="H94" s="129">
        <f t="shared" si="50"/>
        <v>112.80227596017068</v>
      </c>
      <c r="J94" s="109"/>
      <c r="K94" s="110"/>
      <c r="L94" s="110"/>
      <c r="M94" s="110"/>
    </row>
    <row r="95" spans="1:13" ht="21" customHeight="1">
      <c r="A95" s="120"/>
      <c r="B95" s="28" t="s">
        <v>123</v>
      </c>
      <c r="C95" s="9"/>
      <c r="D95" s="26">
        <v>41.2</v>
      </c>
      <c r="E95" s="190">
        <v>55.7</v>
      </c>
      <c r="F95" s="26">
        <v>59.9</v>
      </c>
      <c r="G95" s="19">
        <f t="shared" si="49"/>
        <v>4.1999999999999957</v>
      </c>
      <c r="H95" s="19">
        <f t="shared" si="50"/>
        <v>107.54039497307002</v>
      </c>
    </row>
    <row r="96" spans="1:13" ht="21" customHeight="1">
      <c r="A96" s="120"/>
      <c r="B96" s="28" t="s">
        <v>124</v>
      </c>
      <c r="C96" s="9"/>
      <c r="D96" s="26">
        <v>1.3</v>
      </c>
      <c r="E96" s="190">
        <v>1.2</v>
      </c>
      <c r="F96" s="26">
        <v>1.1000000000000001</v>
      </c>
      <c r="G96" s="19">
        <f t="shared" si="49"/>
        <v>-9.9999999999999867E-2</v>
      </c>
      <c r="H96" s="19">
        <f t="shared" si="50"/>
        <v>91.666666666666671</v>
      </c>
    </row>
    <row r="97" spans="1:13" ht="20.25" customHeight="1">
      <c r="A97" s="120"/>
      <c r="B97" s="28" t="s">
        <v>125</v>
      </c>
      <c r="C97" s="9"/>
      <c r="D97" s="26">
        <v>9</v>
      </c>
      <c r="E97" s="190">
        <v>12.4</v>
      </c>
      <c r="F97" s="26">
        <v>17.3</v>
      </c>
      <c r="G97" s="19">
        <f t="shared" si="49"/>
        <v>4.9000000000000004</v>
      </c>
      <c r="H97" s="19">
        <f t="shared" si="50"/>
        <v>139.51612903225808</v>
      </c>
    </row>
    <row r="98" spans="1:13" ht="21" customHeight="1">
      <c r="A98" s="120"/>
      <c r="B98" s="28" t="s">
        <v>126</v>
      </c>
      <c r="C98" s="9"/>
      <c r="D98" s="26">
        <v>0.9</v>
      </c>
      <c r="E98" s="190">
        <v>1</v>
      </c>
      <c r="F98" s="26">
        <v>1</v>
      </c>
      <c r="G98" s="19">
        <f t="shared" si="49"/>
        <v>0</v>
      </c>
      <c r="H98" s="19">
        <f t="shared" si="50"/>
        <v>100</v>
      </c>
    </row>
    <row r="99" spans="1:13" ht="58.5" customHeight="1">
      <c r="A99" s="102" t="s">
        <v>107</v>
      </c>
      <c r="B99" s="173" t="s">
        <v>271</v>
      </c>
      <c r="C99" s="13"/>
      <c r="D99" s="27">
        <f>D101</f>
        <v>2991.7000000000003</v>
      </c>
      <c r="E99" s="199">
        <f t="shared" ref="E99:F99" si="54">E101</f>
        <v>0</v>
      </c>
      <c r="F99" s="27">
        <f t="shared" si="54"/>
        <v>250.1</v>
      </c>
      <c r="G99" s="68">
        <f t="shared" ref="G99:G102" si="55">F99-E99</f>
        <v>250.1</v>
      </c>
      <c r="H99" s="250" t="e">
        <f t="shared" ref="H99" si="56">(F99/E99)*100</f>
        <v>#DIV/0!</v>
      </c>
    </row>
    <row r="100" spans="1:13" ht="26.25" customHeight="1">
      <c r="A100" s="120"/>
      <c r="B100" s="135" t="s">
        <v>72</v>
      </c>
      <c r="C100" s="9"/>
      <c r="D100" s="26"/>
      <c r="E100" s="190"/>
      <c r="F100" s="26"/>
      <c r="G100" s="19"/>
      <c r="H100" s="19"/>
    </row>
    <row r="101" spans="1:13" ht="45.75" customHeight="1">
      <c r="A101" s="115" t="s">
        <v>88</v>
      </c>
      <c r="B101" s="134" t="s">
        <v>76</v>
      </c>
      <c r="C101" s="116">
        <v>1010</v>
      </c>
      <c r="D101" s="117">
        <f>D102</f>
        <v>2991.7000000000003</v>
      </c>
      <c r="E101" s="151">
        <f t="shared" ref="E101:F101" si="57">E102</f>
        <v>0</v>
      </c>
      <c r="F101" s="117">
        <f t="shared" si="57"/>
        <v>250.1</v>
      </c>
      <c r="G101" s="118">
        <f t="shared" si="55"/>
        <v>250.1</v>
      </c>
      <c r="H101" s="248" t="e">
        <f t="shared" ref="H101:H102" si="58">(F101/E101)*100</f>
        <v>#DIV/0!</v>
      </c>
    </row>
    <row r="102" spans="1:13" ht="25.5" customHeight="1">
      <c r="A102" s="119" t="s">
        <v>175</v>
      </c>
      <c r="B102" s="135" t="s">
        <v>89</v>
      </c>
      <c r="C102" s="128">
        <v>1011</v>
      </c>
      <c r="D102" s="126">
        <f>SUM(D103:D104)</f>
        <v>2991.7000000000003</v>
      </c>
      <c r="E102" s="192">
        <f>SUM(E103:E104)</f>
        <v>0</v>
      </c>
      <c r="F102" s="126">
        <f>SUM(F103:F104)</f>
        <v>250.1</v>
      </c>
      <c r="G102" s="129">
        <f t="shared" si="55"/>
        <v>250.1</v>
      </c>
      <c r="H102" s="249" t="e">
        <f t="shared" si="58"/>
        <v>#DIV/0!</v>
      </c>
    </row>
    <row r="103" spans="1:13" ht="22.5" customHeight="1">
      <c r="A103" s="120"/>
      <c r="B103" s="28" t="s">
        <v>110</v>
      </c>
      <c r="C103" s="9"/>
      <c r="D103" s="26">
        <f>3194.9-291.5</f>
        <v>2903.4</v>
      </c>
      <c r="E103" s="190"/>
      <c r="F103" s="26">
        <v>151.19999999999999</v>
      </c>
      <c r="G103" s="19">
        <f t="shared" ref="G103:G104" si="59">F103-E103</f>
        <v>151.19999999999999</v>
      </c>
      <c r="H103" s="244" t="e">
        <f t="shared" ref="H103:H104" si="60">(F103/E103)*100</f>
        <v>#DIV/0!</v>
      </c>
    </row>
    <row r="104" spans="1:13" ht="23.25" customHeight="1">
      <c r="A104" s="120"/>
      <c r="B104" s="28" t="s">
        <v>225</v>
      </c>
      <c r="C104" s="9"/>
      <c r="D104" s="26">
        <v>88.3</v>
      </c>
      <c r="E104" s="190"/>
      <c r="F104" s="26">
        <v>98.9</v>
      </c>
      <c r="G104" s="19">
        <f t="shared" si="59"/>
        <v>98.9</v>
      </c>
      <c r="H104" s="244" t="e">
        <f t="shared" si="60"/>
        <v>#DIV/0!</v>
      </c>
    </row>
    <row r="105" spans="1:13" ht="33" customHeight="1">
      <c r="A105" s="102" t="s">
        <v>108</v>
      </c>
      <c r="B105" s="247" t="s">
        <v>168</v>
      </c>
      <c r="C105" s="13"/>
      <c r="D105" s="27">
        <f>SUM(D107,D113)</f>
        <v>68.2</v>
      </c>
      <c r="E105" s="27">
        <f>SUM(E107,E113)</f>
        <v>81.400000000000006</v>
      </c>
      <c r="F105" s="27">
        <f>SUM(F107,F113)</f>
        <v>86.199999999999989</v>
      </c>
      <c r="G105" s="68">
        <f t="shared" si="49"/>
        <v>4.7999999999999829</v>
      </c>
      <c r="H105" s="68">
        <f t="shared" si="50"/>
        <v>105.89680589680587</v>
      </c>
      <c r="K105" s="154"/>
    </row>
    <row r="106" spans="1:13" ht="23.25" customHeight="1">
      <c r="A106" s="120"/>
      <c r="B106" s="113" t="s">
        <v>72</v>
      </c>
      <c r="C106" s="13"/>
      <c r="D106" s="27"/>
      <c r="E106" s="27"/>
      <c r="F106" s="27"/>
      <c r="G106" s="19"/>
      <c r="H106" s="19"/>
    </row>
    <row r="107" spans="1:13" ht="39.75" customHeight="1">
      <c r="A107" s="115" t="s">
        <v>176</v>
      </c>
      <c r="B107" s="20" t="s">
        <v>76</v>
      </c>
      <c r="C107" s="116">
        <v>1010</v>
      </c>
      <c r="D107" s="117">
        <f>D108</f>
        <v>67.900000000000006</v>
      </c>
      <c r="E107" s="117">
        <f>E108</f>
        <v>81.100000000000009</v>
      </c>
      <c r="F107" s="117">
        <f>F108</f>
        <v>85.899999999999991</v>
      </c>
      <c r="G107" s="118">
        <f t="shared" si="49"/>
        <v>4.7999999999999829</v>
      </c>
      <c r="H107" s="118">
        <f>F107/E107*100</f>
        <v>105.91861898890255</v>
      </c>
    </row>
    <row r="108" spans="1:13" s="105" customFormat="1" ht="22.5" customHeight="1">
      <c r="A108" s="119" t="s">
        <v>177</v>
      </c>
      <c r="B108" s="113" t="s">
        <v>89</v>
      </c>
      <c r="C108" s="128">
        <v>1011</v>
      </c>
      <c r="D108" s="126">
        <f>SUM(D109:D112)</f>
        <v>67.900000000000006</v>
      </c>
      <c r="E108" s="126">
        <f>E109+E110+E111+E112</f>
        <v>81.100000000000009</v>
      </c>
      <c r="F108" s="126">
        <f>F109+F110+F111+F112</f>
        <v>85.899999999999991</v>
      </c>
      <c r="G108" s="129">
        <f t="shared" si="49"/>
        <v>4.7999999999999829</v>
      </c>
      <c r="H108" s="129">
        <f t="shared" ref="H108:H112" si="61">F108/E108*100</f>
        <v>105.91861898890255</v>
      </c>
      <c r="J108" s="109"/>
      <c r="K108" s="110"/>
      <c r="L108" s="110"/>
      <c r="M108" s="110"/>
    </row>
    <row r="109" spans="1:13" ht="18.75" customHeight="1">
      <c r="A109" s="120"/>
      <c r="B109" s="16" t="s">
        <v>123</v>
      </c>
      <c r="C109" s="9"/>
      <c r="D109" s="26">
        <v>4.5</v>
      </c>
      <c r="E109" s="190">
        <v>2.7</v>
      </c>
      <c r="F109" s="26">
        <v>5</v>
      </c>
      <c r="G109" s="19">
        <f t="shared" si="49"/>
        <v>2.2999999999999998</v>
      </c>
      <c r="H109" s="19">
        <f t="shared" si="61"/>
        <v>185.18518518518516</v>
      </c>
    </row>
    <row r="110" spans="1:13" ht="23.25" customHeight="1">
      <c r="A110" s="120"/>
      <c r="B110" s="16" t="s">
        <v>124</v>
      </c>
      <c r="C110" s="9"/>
      <c r="D110" s="26">
        <v>0.6</v>
      </c>
      <c r="E110" s="190">
        <v>0.5</v>
      </c>
      <c r="F110" s="26">
        <v>0.6</v>
      </c>
      <c r="G110" s="19">
        <f t="shared" si="49"/>
        <v>9.9999999999999978E-2</v>
      </c>
      <c r="H110" s="19">
        <f t="shared" si="61"/>
        <v>120</v>
      </c>
    </row>
    <row r="111" spans="1:13" ht="22.5" customHeight="1">
      <c r="A111" s="120"/>
      <c r="B111" s="16" t="s">
        <v>125</v>
      </c>
      <c r="C111" s="9"/>
      <c r="D111" s="26">
        <v>62.6</v>
      </c>
      <c r="E111" s="190">
        <v>77.7</v>
      </c>
      <c r="F111" s="26">
        <v>80.099999999999994</v>
      </c>
      <c r="G111" s="19">
        <f t="shared" ref="G111:G115" si="62">F111-E111</f>
        <v>2.3999999999999915</v>
      </c>
      <c r="H111" s="19">
        <f t="shared" si="61"/>
        <v>103.08880308880308</v>
      </c>
    </row>
    <row r="112" spans="1:13" ht="21" customHeight="1">
      <c r="A112" s="120"/>
      <c r="B112" s="16" t="s">
        <v>126</v>
      </c>
      <c r="C112" s="9"/>
      <c r="D112" s="26">
        <v>0.2</v>
      </c>
      <c r="E112" s="190">
        <v>0.2</v>
      </c>
      <c r="F112" s="26">
        <v>0.2</v>
      </c>
      <c r="G112" s="19">
        <f t="shared" si="62"/>
        <v>0</v>
      </c>
      <c r="H112" s="19">
        <f t="shared" si="61"/>
        <v>100</v>
      </c>
    </row>
    <row r="113" spans="1:13" ht="24" customHeight="1">
      <c r="A113" s="115" t="s">
        <v>178</v>
      </c>
      <c r="B113" s="20" t="s">
        <v>77</v>
      </c>
      <c r="C113" s="116">
        <v>1020</v>
      </c>
      <c r="D113" s="117">
        <f t="shared" ref="D113:F113" si="63">SUM(D114)</f>
        <v>0.3</v>
      </c>
      <c r="E113" s="117">
        <f t="shared" si="63"/>
        <v>0.3</v>
      </c>
      <c r="F113" s="117">
        <f t="shared" si="63"/>
        <v>0.3</v>
      </c>
      <c r="G113" s="118">
        <f t="shared" si="62"/>
        <v>0</v>
      </c>
      <c r="H113" s="118">
        <f t="shared" ref="H113:H115" si="64">(F113/E113)*100</f>
        <v>100</v>
      </c>
    </row>
    <row r="114" spans="1:13" s="105" customFormat="1" ht="24" customHeight="1">
      <c r="A114" s="119" t="s">
        <v>229</v>
      </c>
      <c r="B114" s="135" t="s">
        <v>145</v>
      </c>
      <c r="C114" s="128">
        <v>1025</v>
      </c>
      <c r="D114" s="126">
        <f t="shared" ref="D114" si="65">SUM(D115)</f>
        <v>0.3</v>
      </c>
      <c r="E114" s="126">
        <v>0.3</v>
      </c>
      <c r="F114" s="126">
        <v>0.3</v>
      </c>
      <c r="G114" s="129">
        <f t="shared" si="62"/>
        <v>0</v>
      </c>
      <c r="H114" s="129">
        <f t="shared" si="64"/>
        <v>100</v>
      </c>
      <c r="J114" s="109"/>
      <c r="K114" s="110"/>
      <c r="L114" s="110"/>
      <c r="M114" s="110"/>
    </row>
    <row r="115" spans="1:13" ht="22.5" customHeight="1">
      <c r="A115" s="120"/>
      <c r="B115" s="16" t="s">
        <v>38</v>
      </c>
      <c r="C115" s="9"/>
      <c r="D115" s="26">
        <v>0.3</v>
      </c>
      <c r="E115" s="190">
        <v>0.3</v>
      </c>
      <c r="F115" s="26">
        <v>0.3</v>
      </c>
      <c r="G115" s="19">
        <f t="shared" si="62"/>
        <v>0</v>
      </c>
      <c r="H115" s="19">
        <f t="shared" si="64"/>
        <v>100</v>
      </c>
    </row>
    <row r="116" spans="1:13" ht="25.5" customHeight="1">
      <c r="A116" s="102" t="s">
        <v>273</v>
      </c>
      <c r="B116" s="247" t="s">
        <v>134</v>
      </c>
      <c r="C116" s="13"/>
      <c r="D116" s="27">
        <f t="shared" ref="D116" si="66">SUM(D118,)</f>
        <v>0</v>
      </c>
      <c r="E116" s="27">
        <f t="shared" ref="E116:F116" si="67">SUM(E118,)</f>
        <v>3</v>
      </c>
      <c r="F116" s="27">
        <f t="shared" si="67"/>
        <v>0</v>
      </c>
      <c r="G116" s="68">
        <f t="shared" ref="G116:G170" si="68">F116-E116</f>
        <v>-3</v>
      </c>
      <c r="H116" s="68">
        <f t="shared" ref="H116:H170" si="69">(F116/E116)*100</f>
        <v>0</v>
      </c>
    </row>
    <row r="117" spans="1:13" ht="25.5" customHeight="1">
      <c r="A117" s="102"/>
      <c r="B117" s="113" t="s">
        <v>72</v>
      </c>
      <c r="C117" s="13"/>
      <c r="D117" s="27"/>
      <c r="E117" s="27"/>
      <c r="F117" s="27"/>
      <c r="G117" s="68"/>
      <c r="H117" s="68"/>
    </row>
    <row r="118" spans="1:13" ht="25.5" customHeight="1">
      <c r="A118" s="115" t="s">
        <v>179</v>
      </c>
      <c r="B118" s="20" t="s">
        <v>77</v>
      </c>
      <c r="C118" s="116">
        <v>1020</v>
      </c>
      <c r="D118" s="117">
        <f>D120</f>
        <v>0</v>
      </c>
      <c r="E118" s="117">
        <f>SUM(E119)</f>
        <v>3</v>
      </c>
      <c r="F118" s="117">
        <f>F120</f>
        <v>0</v>
      </c>
      <c r="G118" s="118">
        <f t="shared" si="68"/>
        <v>-3</v>
      </c>
      <c r="H118" s="129">
        <f t="shared" si="69"/>
        <v>0</v>
      </c>
    </row>
    <row r="119" spans="1:13" s="105" customFormat="1" ht="26.25" customHeight="1">
      <c r="A119" s="119" t="s">
        <v>180</v>
      </c>
      <c r="B119" s="113" t="s">
        <v>89</v>
      </c>
      <c r="C119" s="128">
        <v>1021</v>
      </c>
      <c r="D119" s="126">
        <f>D120</f>
        <v>0</v>
      </c>
      <c r="E119" s="126">
        <f>SUM(E120)</f>
        <v>3</v>
      </c>
      <c r="F119" s="126">
        <f>F120</f>
        <v>0</v>
      </c>
      <c r="G119" s="129">
        <f t="shared" si="68"/>
        <v>-3</v>
      </c>
      <c r="H119" s="129">
        <f t="shared" si="69"/>
        <v>0</v>
      </c>
      <c r="J119" s="109"/>
      <c r="K119" s="110"/>
      <c r="L119" s="110"/>
      <c r="M119" s="110"/>
    </row>
    <row r="120" spans="1:13" ht="24.75" customHeight="1">
      <c r="A120" s="102"/>
      <c r="B120" s="16" t="s">
        <v>141</v>
      </c>
      <c r="C120" s="13"/>
      <c r="D120" s="26"/>
      <c r="E120" s="26">
        <v>3</v>
      </c>
      <c r="F120" s="26"/>
      <c r="G120" s="19">
        <f t="shared" si="68"/>
        <v>-3</v>
      </c>
      <c r="H120" s="19">
        <f t="shared" si="69"/>
        <v>0</v>
      </c>
    </row>
    <row r="121" spans="1:13" ht="29.25" customHeight="1">
      <c r="A121" s="102" t="s">
        <v>135</v>
      </c>
      <c r="B121" s="247" t="s">
        <v>243</v>
      </c>
      <c r="C121" s="13"/>
      <c r="D121" s="27">
        <f>SUM(D123,)</f>
        <v>3178.2000000000003</v>
      </c>
      <c r="E121" s="27">
        <f t="shared" ref="E121" si="70">SUM(E123,)</f>
        <v>0</v>
      </c>
      <c r="F121" s="27">
        <f>F123</f>
        <v>3443.7999999999997</v>
      </c>
      <c r="G121" s="68">
        <f t="shared" si="68"/>
        <v>3443.7999999999997</v>
      </c>
      <c r="H121" s="244" t="e">
        <f t="shared" si="69"/>
        <v>#DIV/0!</v>
      </c>
    </row>
    <row r="122" spans="1:13" ht="21" customHeight="1">
      <c r="A122" s="102"/>
      <c r="B122" s="113" t="s">
        <v>72</v>
      </c>
      <c r="C122" s="9"/>
      <c r="D122" s="26"/>
      <c r="E122" s="26"/>
      <c r="F122" s="26"/>
      <c r="G122" s="19"/>
      <c r="H122" s="19"/>
    </row>
    <row r="123" spans="1:13" ht="38.25" customHeight="1">
      <c r="A123" s="115" t="s">
        <v>169</v>
      </c>
      <c r="B123" s="20" t="s">
        <v>76</v>
      </c>
      <c r="C123" s="116">
        <v>1010</v>
      </c>
      <c r="D123" s="117">
        <f>SUM(D124)</f>
        <v>3178.2000000000003</v>
      </c>
      <c r="E123" s="117">
        <f t="shared" ref="E123" si="71">SUM(E124)</f>
        <v>0</v>
      </c>
      <c r="F123" s="117">
        <f>F124+F134</f>
        <v>3443.7999999999997</v>
      </c>
      <c r="G123" s="118">
        <f t="shared" si="68"/>
        <v>3443.7999999999997</v>
      </c>
      <c r="H123" s="248" t="e">
        <f t="shared" si="69"/>
        <v>#DIV/0!</v>
      </c>
    </row>
    <row r="124" spans="1:13" s="105" customFormat="1" ht="24" customHeight="1">
      <c r="A124" s="119" t="s">
        <v>191</v>
      </c>
      <c r="B124" s="113" t="s">
        <v>89</v>
      </c>
      <c r="C124" s="128">
        <v>1011</v>
      </c>
      <c r="D124" s="126">
        <f>SUM(D125:D133)</f>
        <v>3178.2000000000003</v>
      </c>
      <c r="E124" s="126">
        <f>SUM(E125:E133)</f>
        <v>0</v>
      </c>
      <c r="F124" s="126">
        <f>SUM(F125:F133)</f>
        <v>3422.2</v>
      </c>
      <c r="G124" s="129">
        <f t="shared" si="68"/>
        <v>3422.2</v>
      </c>
      <c r="H124" s="249" t="e">
        <f t="shared" si="69"/>
        <v>#DIV/0!</v>
      </c>
      <c r="J124" s="109"/>
      <c r="K124" s="110"/>
      <c r="L124" s="110"/>
      <c r="M124" s="110"/>
    </row>
    <row r="125" spans="1:13" ht="24" customHeight="1">
      <c r="A125" s="102"/>
      <c r="B125" s="16" t="s">
        <v>181</v>
      </c>
      <c r="C125" s="13"/>
      <c r="D125" s="26">
        <f>63.4</f>
        <v>63.4</v>
      </c>
      <c r="E125" s="26"/>
      <c r="F125" s="26">
        <v>271.5</v>
      </c>
      <c r="G125" s="19">
        <f t="shared" si="68"/>
        <v>271.5</v>
      </c>
      <c r="H125" s="244" t="e">
        <f t="shared" si="69"/>
        <v>#DIV/0!</v>
      </c>
    </row>
    <row r="126" spans="1:13" ht="21.75" customHeight="1">
      <c r="A126" s="102"/>
      <c r="B126" s="16" t="s">
        <v>210</v>
      </c>
      <c r="C126" s="9"/>
      <c r="D126" s="26">
        <v>289.2</v>
      </c>
      <c r="E126" s="26"/>
      <c r="F126" s="26">
        <v>278.10000000000002</v>
      </c>
      <c r="G126" s="19">
        <f t="shared" si="68"/>
        <v>278.10000000000002</v>
      </c>
      <c r="H126" s="244" t="e">
        <f t="shared" si="69"/>
        <v>#DIV/0!</v>
      </c>
    </row>
    <row r="127" spans="1:13" ht="21" customHeight="1">
      <c r="A127" s="102"/>
      <c r="B127" s="16" t="s">
        <v>192</v>
      </c>
      <c r="C127" s="9"/>
      <c r="D127" s="26">
        <v>74.3</v>
      </c>
      <c r="E127" s="26"/>
      <c r="F127" s="26">
        <v>104.7</v>
      </c>
      <c r="G127" s="19">
        <f t="shared" si="68"/>
        <v>104.7</v>
      </c>
      <c r="H127" s="244" t="e">
        <f t="shared" si="69"/>
        <v>#DIV/0!</v>
      </c>
    </row>
    <row r="128" spans="1:13" ht="20.25" customHeight="1">
      <c r="A128" s="102"/>
      <c r="B128" s="16" t="s">
        <v>139</v>
      </c>
      <c r="C128" s="9"/>
      <c r="D128" s="26">
        <v>20.100000000000001</v>
      </c>
      <c r="E128" s="26"/>
      <c r="F128" s="26">
        <v>150.9</v>
      </c>
      <c r="G128" s="19">
        <f t="shared" si="68"/>
        <v>150.9</v>
      </c>
      <c r="H128" s="244" t="e">
        <f t="shared" si="69"/>
        <v>#DIV/0!</v>
      </c>
    </row>
    <row r="129" spans="1:13" ht="18" customHeight="1">
      <c r="A129" s="102"/>
      <c r="B129" s="16" t="s">
        <v>140</v>
      </c>
      <c r="C129" s="9"/>
      <c r="D129" s="26">
        <v>33.5</v>
      </c>
      <c r="E129" s="26"/>
      <c r="F129" s="26">
        <v>90.1</v>
      </c>
      <c r="G129" s="19">
        <f t="shared" si="68"/>
        <v>90.1</v>
      </c>
      <c r="H129" s="244" t="e">
        <f t="shared" si="69"/>
        <v>#DIV/0!</v>
      </c>
    </row>
    <row r="130" spans="1:13" ht="22.5" customHeight="1">
      <c r="A130" s="102"/>
      <c r="B130" s="16" t="s">
        <v>193</v>
      </c>
      <c r="C130" s="9"/>
      <c r="D130" s="26">
        <v>1.2</v>
      </c>
      <c r="E130" s="26"/>
      <c r="F130" s="26"/>
      <c r="G130" s="19">
        <f t="shared" si="68"/>
        <v>0</v>
      </c>
      <c r="H130" s="244" t="e">
        <f t="shared" si="69"/>
        <v>#DIV/0!</v>
      </c>
    </row>
    <row r="131" spans="1:13" ht="21" customHeight="1">
      <c r="A131" s="102"/>
      <c r="B131" s="16" t="s">
        <v>142</v>
      </c>
      <c r="C131" s="9"/>
      <c r="D131" s="26">
        <v>28.6</v>
      </c>
      <c r="E131" s="26"/>
      <c r="F131" s="26">
        <v>506.9</v>
      </c>
      <c r="G131" s="19">
        <f t="shared" si="68"/>
        <v>506.9</v>
      </c>
      <c r="H131" s="244" t="e">
        <f t="shared" si="69"/>
        <v>#DIV/0!</v>
      </c>
    </row>
    <row r="132" spans="1:13" ht="20.25" customHeight="1">
      <c r="A132" s="102"/>
      <c r="B132" s="16" t="s">
        <v>110</v>
      </c>
      <c r="C132" s="29"/>
      <c r="D132" s="26">
        <v>2516.4</v>
      </c>
      <c r="E132" s="26"/>
      <c r="F132" s="26">
        <v>1843.3</v>
      </c>
      <c r="G132" s="19">
        <f t="shared" si="68"/>
        <v>1843.3</v>
      </c>
      <c r="H132" s="244" t="e">
        <f t="shared" si="69"/>
        <v>#DIV/0!</v>
      </c>
    </row>
    <row r="133" spans="1:13" ht="20.25" customHeight="1">
      <c r="A133" s="102"/>
      <c r="B133" s="16" t="s">
        <v>130</v>
      </c>
      <c r="C133" s="9"/>
      <c r="D133" s="26">
        <v>151.5</v>
      </c>
      <c r="E133" s="26"/>
      <c r="F133" s="26">
        <v>176.7</v>
      </c>
      <c r="G133" s="19">
        <f t="shared" si="68"/>
        <v>176.7</v>
      </c>
      <c r="H133" s="244" t="e">
        <f t="shared" si="69"/>
        <v>#DIV/0!</v>
      </c>
    </row>
    <row r="134" spans="1:13" ht="20.25" customHeight="1">
      <c r="A134" s="119" t="s">
        <v>321</v>
      </c>
      <c r="B134" s="20" t="s">
        <v>79</v>
      </c>
      <c r="C134" s="116">
        <v>1015</v>
      </c>
      <c r="D134" s="26"/>
      <c r="E134" s="26"/>
      <c r="F134" s="117">
        <f>F135</f>
        <v>21.6</v>
      </c>
      <c r="G134" s="19"/>
      <c r="H134" s="244"/>
    </row>
    <row r="135" spans="1:13" ht="20.25" customHeight="1">
      <c r="A135" s="102"/>
      <c r="B135" s="16" t="s">
        <v>322</v>
      </c>
      <c r="C135" s="9"/>
      <c r="D135" s="26"/>
      <c r="E135" s="26"/>
      <c r="F135" s="26">
        <v>21.6</v>
      </c>
      <c r="G135" s="19"/>
      <c r="H135" s="244"/>
    </row>
    <row r="136" spans="1:13" ht="24" customHeight="1">
      <c r="A136" s="102" t="s">
        <v>136</v>
      </c>
      <c r="B136" s="247" t="s">
        <v>252</v>
      </c>
      <c r="C136" s="13"/>
      <c r="D136" s="27">
        <f>SUM(D138,)</f>
        <v>12.4</v>
      </c>
      <c r="E136" s="27">
        <f t="shared" ref="E136:F136" si="72">SUM(E138,)</f>
        <v>0</v>
      </c>
      <c r="F136" s="27">
        <f t="shared" si="72"/>
        <v>0</v>
      </c>
      <c r="G136" s="68">
        <f t="shared" si="68"/>
        <v>0</v>
      </c>
      <c r="H136" s="244" t="e">
        <f t="shared" si="69"/>
        <v>#DIV/0!</v>
      </c>
    </row>
    <row r="137" spans="1:13" ht="20.25" customHeight="1">
      <c r="A137" s="102"/>
      <c r="B137" s="113" t="s">
        <v>72</v>
      </c>
      <c r="C137" s="9"/>
      <c r="D137" s="26"/>
      <c r="E137" s="26"/>
      <c r="F137" s="26"/>
      <c r="G137" s="19"/>
      <c r="H137" s="244"/>
    </row>
    <row r="138" spans="1:13" ht="36" customHeight="1">
      <c r="A138" s="115" t="s">
        <v>234</v>
      </c>
      <c r="B138" s="20" t="s">
        <v>76</v>
      </c>
      <c r="C138" s="116">
        <v>1010</v>
      </c>
      <c r="D138" s="117">
        <f>SUM(D139,)</f>
        <v>12.4</v>
      </c>
      <c r="E138" s="117">
        <f>SUM(E139,)</f>
        <v>0</v>
      </c>
      <c r="F138" s="117">
        <f>F140+F141</f>
        <v>0</v>
      </c>
      <c r="G138" s="118">
        <f t="shared" si="68"/>
        <v>0</v>
      </c>
      <c r="H138" s="248" t="e">
        <f t="shared" si="69"/>
        <v>#DIV/0!</v>
      </c>
    </row>
    <row r="139" spans="1:13" ht="24.75" customHeight="1">
      <c r="A139" s="119" t="s">
        <v>235</v>
      </c>
      <c r="B139" s="113" t="s">
        <v>89</v>
      </c>
      <c r="C139" s="128">
        <v>1011</v>
      </c>
      <c r="D139" s="126">
        <f>D140+D141</f>
        <v>12.4</v>
      </c>
      <c r="E139" s="126">
        <f>SUM(E140:E141)</f>
        <v>0</v>
      </c>
      <c r="F139" s="126"/>
      <c r="G139" s="129">
        <f t="shared" si="68"/>
        <v>0</v>
      </c>
      <c r="H139" s="249" t="e">
        <f t="shared" si="69"/>
        <v>#DIV/0!</v>
      </c>
    </row>
    <row r="140" spans="1:13" ht="21" customHeight="1">
      <c r="A140" s="102"/>
      <c r="B140" s="16" t="s">
        <v>181</v>
      </c>
      <c r="C140" s="13"/>
      <c r="D140" s="26">
        <v>12.1</v>
      </c>
      <c r="E140" s="26"/>
      <c r="F140" s="26"/>
      <c r="G140" s="19">
        <f t="shared" si="68"/>
        <v>0</v>
      </c>
      <c r="H140" s="244" t="e">
        <f t="shared" si="69"/>
        <v>#DIV/0!</v>
      </c>
    </row>
    <row r="141" spans="1:13" ht="21" customHeight="1">
      <c r="A141" s="102"/>
      <c r="B141" s="16" t="s">
        <v>110</v>
      </c>
      <c r="C141" s="29"/>
      <c r="D141" s="26">
        <v>0.3</v>
      </c>
      <c r="E141" s="26"/>
      <c r="F141" s="26"/>
      <c r="G141" s="19">
        <f t="shared" si="68"/>
        <v>0</v>
      </c>
      <c r="H141" s="244" t="e">
        <f t="shared" si="69"/>
        <v>#DIV/0!</v>
      </c>
    </row>
    <row r="142" spans="1:13" s="105" customFormat="1" ht="30" customHeight="1">
      <c r="A142" s="102" t="s">
        <v>230</v>
      </c>
      <c r="B142" s="247" t="s">
        <v>253</v>
      </c>
      <c r="C142" s="13"/>
      <c r="D142" s="27">
        <v>462.1</v>
      </c>
      <c r="E142" s="27"/>
      <c r="F142" s="27">
        <f>F144</f>
        <v>300.10000000000002</v>
      </c>
      <c r="G142" s="68">
        <f t="shared" si="68"/>
        <v>300.10000000000002</v>
      </c>
      <c r="H142" s="250" t="e">
        <f t="shared" si="69"/>
        <v>#DIV/0!</v>
      </c>
      <c r="J142" s="109"/>
      <c r="K142" s="110"/>
      <c r="L142" s="110"/>
      <c r="M142" s="110"/>
    </row>
    <row r="143" spans="1:13" ht="25.5" customHeight="1">
      <c r="A143" s="102"/>
      <c r="B143" s="113" t="s">
        <v>72</v>
      </c>
      <c r="C143" s="9"/>
      <c r="D143" s="26"/>
      <c r="E143" s="26"/>
      <c r="F143" s="26"/>
      <c r="G143" s="19"/>
      <c r="H143" s="244"/>
    </row>
    <row r="144" spans="1:13" ht="43.5" customHeight="1">
      <c r="A144" s="115" t="s">
        <v>231</v>
      </c>
      <c r="B144" s="20" t="s">
        <v>76</v>
      </c>
      <c r="C144" s="116">
        <v>1010</v>
      </c>
      <c r="D144" s="117">
        <f>D145</f>
        <v>462.1</v>
      </c>
      <c r="E144" s="117">
        <f>SUM(E145)</f>
        <v>0</v>
      </c>
      <c r="F144" s="117">
        <f>F145</f>
        <v>300.10000000000002</v>
      </c>
      <c r="G144" s="118">
        <f t="shared" si="68"/>
        <v>300.10000000000002</v>
      </c>
      <c r="H144" s="248" t="e">
        <f t="shared" si="69"/>
        <v>#DIV/0!</v>
      </c>
    </row>
    <row r="145" spans="1:13" ht="24.75" customHeight="1">
      <c r="A145" s="119" t="s">
        <v>275</v>
      </c>
      <c r="B145" s="113" t="s">
        <v>89</v>
      </c>
      <c r="C145" s="128">
        <v>1011</v>
      </c>
      <c r="D145" s="126">
        <f>D146</f>
        <v>462.1</v>
      </c>
      <c r="E145" s="126">
        <f>SUM(E146)</f>
        <v>0</v>
      </c>
      <c r="F145" s="126">
        <f>F146</f>
        <v>300.10000000000002</v>
      </c>
      <c r="G145" s="129">
        <f t="shared" si="68"/>
        <v>300.10000000000002</v>
      </c>
      <c r="H145" s="249" t="e">
        <f t="shared" si="69"/>
        <v>#DIV/0!</v>
      </c>
    </row>
    <row r="146" spans="1:13" ht="23.25" customHeight="1">
      <c r="A146" s="102"/>
      <c r="B146" s="16" t="s">
        <v>110</v>
      </c>
      <c r="C146" s="29"/>
      <c r="D146" s="26">
        <v>462.1</v>
      </c>
      <c r="E146" s="26"/>
      <c r="F146" s="26">
        <v>300.10000000000002</v>
      </c>
      <c r="G146" s="19">
        <f t="shared" si="68"/>
        <v>300.10000000000002</v>
      </c>
      <c r="H146" s="244" t="e">
        <f t="shared" si="69"/>
        <v>#DIV/0!</v>
      </c>
    </row>
    <row r="147" spans="1:13" ht="36.75" customHeight="1">
      <c r="A147" s="102" t="s">
        <v>276</v>
      </c>
      <c r="B147" s="251" t="s">
        <v>310</v>
      </c>
      <c r="C147" s="13"/>
      <c r="D147" s="27">
        <f>D149+D158</f>
        <v>99</v>
      </c>
      <c r="E147" s="27">
        <f>E149+E158</f>
        <v>240.5</v>
      </c>
      <c r="F147" s="27">
        <f>F149+F158</f>
        <v>60.4</v>
      </c>
      <c r="G147" s="68">
        <f t="shared" si="68"/>
        <v>-180.1</v>
      </c>
      <c r="H147" s="68">
        <f t="shared" si="69"/>
        <v>25.114345114345117</v>
      </c>
    </row>
    <row r="148" spans="1:13" ht="23.25" customHeight="1">
      <c r="A148" s="102"/>
      <c r="B148" s="153" t="s">
        <v>72</v>
      </c>
      <c r="C148" s="13"/>
      <c r="D148" s="27"/>
      <c r="E148" s="27"/>
      <c r="F148" s="27"/>
      <c r="G148" s="68"/>
      <c r="H148" s="68"/>
    </row>
    <row r="149" spans="1:13" ht="42.75" customHeight="1">
      <c r="A149" s="115" t="s">
        <v>277</v>
      </c>
      <c r="B149" s="20" t="s">
        <v>76</v>
      </c>
      <c r="C149" s="116">
        <v>1010</v>
      </c>
      <c r="D149" s="117">
        <f>SUM(D150,D153)</f>
        <v>99</v>
      </c>
      <c r="E149" s="117">
        <f>SUM(E150,E153)</f>
        <v>239</v>
      </c>
      <c r="F149" s="117">
        <f>SUM(F150,F153)</f>
        <v>60.4</v>
      </c>
      <c r="G149" s="118">
        <f t="shared" si="68"/>
        <v>-178.6</v>
      </c>
      <c r="H149" s="118">
        <f t="shared" si="69"/>
        <v>25.271966527196653</v>
      </c>
    </row>
    <row r="150" spans="1:13" s="105" customFormat="1" ht="23.25" customHeight="1">
      <c r="A150" s="119" t="s">
        <v>278</v>
      </c>
      <c r="B150" s="113" t="s">
        <v>89</v>
      </c>
      <c r="C150" s="128">
        <v>1011</v>
      </c>
      <c r="D150" s="126">
        <f>SUM(D151)</f>
        <v>0</v>
      </c>
      <c r="E150" s="126">
        <f>SUM(E151,E152)</f>
        <v>35</v>
      </c>
      <c r="F150" s="126">
        <f>F151+F152</f>
        <v>43.9</v>
      </c>
      <c r="G150" s="129">
        <f t="shared" si="68"/>
        <v>8.8999999999999986</v>
      </c>
      <c r="H150" s="129">
        <f t="shared" si="69"/>
        <v>125.42857142857142</v>
      </c>
      <c r="J150" s="109"/>
      <c r="K150" s="110"/>
      <c r="L150" s="110"/>
      <c r="M150" s="110"/>
    </row>
    <row r="151" spans="1:13" ht="21.75" customHeight="1">
      <c r="A151" s="102"/>
      <c r="B151" s="18" t="s">
        <v>140</v>
      </c>
      <c r="C151" s="9"/>
      <c r="D151" s="26"/>
      <c r="E151" s="26">
        <v>15</v>
      </c>
      <c r="F151" s="26"/>
      <c r="G151" s="19">
        <f t="shared" si="68"/>
        <v>-15</v>
      </c>
      <c r="H151" s="244">
        <f t="shared" si="69"/>
        <v>0</v>
      </c>
    </row>
    <row r="152" spans="1:13" ht="36.75" customHeight="1">
      <c r="A152" s="102"/>
      <c r="B152" s="18" t="s">
        <v>318</v>
      </c>
      <c r="C152" s="9"/>
      <c r="D152" s="26"/>
      <c r="E152" s="190">
        <v>20</v>
      </c>
      <c r="F152" s="26">
        <v>43.9</v>
      </c>
      <c r="G152" s="19">
        <f t="shared" si="68"/>
        <v>23.9</v>
      </c>
      <c r="H152" s="19">
        <f t="shared" si="69"/>
        <v>219.49999999999997</v>
      </c>
    </row>
    <row r="153" spans="1:13" ht="22.5" customHeight="1">
      <c r="A153" s="119" t="s">
        <v>279</v>
      </c>
      <c r="B153" s="113" t="s">
        <v>79</v>
      </c>
      <c r="C153" s="128">
        <v>1015</v>
      </c>
      <c r="D153" s="126">
        <f>D154+D155+D157</f>
        <v>99</v>
      </c>
      <c r="E153" s="126">
        <f>E154+E155+E156+E157</f>
        <v>204</v>
      </c>
      <c r="F153" s="126">
        <f>F154+F155+F156+F157</f>
        <v>16.5</v>
      </c>
      <c r="G153" s="129">
        <f t="shared" si="68"/>
        <v>-187.5</v>
      </c>
      <c r="H153" s="129">
        <f t="shared" si="69"/>
        <v>8.0882352941176467</v>
      </c>
    </row>
    <row r="154" spans="1:13" ht="79.5" customHeight="1">
      <c r="A154" s="102"/>
      <c r="B154" s="16" t="s">
        <v>319</v>
      </c>
      <c r="C154" s="9"/>
      <c r="D154" s="26"/>
      <c r="E154" s="190">
        <v>50</v>
      </c>
      <c r="F154" s="26">
        <v>13.5</v>
      </c>
      <c r="G154" s="19">
        <f t="shared" si="68"/>
        <v>-36.5</v>
      </c>
      <c r="H154" s="19">
        <f t="shared" si="69"/>
        <v>27</v>
      </c>
    </row>
    <row r="155" spans="1:13" ht="60" customHeight="1">
      <c r="A155" s="102"/>
      <c r="B155" s="16" t="s">
        <v>239</v>
      </c>
      <c r="C155" s="9"/>
      <c r="D155" s="26"/>
      <c r="E155" s="190">
        <v>2.5</v>
      </c>
      <c r="F155" s="26"/>
      <c r="G155" s="19">
        <f t="shared" si="68"/>
        <v>-2.5</v>
      </c>
      <c r="H155" s="19">
        <f t="shared" si="69"/>
        <v>0</v>
      </c>
    </row>
    <row r="156" spans="1:13" ht="56.25" customHeight="1">
      <c r="A156" s="102"/>
      <c r="B156" s="31" t="s">
        <v>208</v>
      </c>
      <c r="C156" s="9"/>
      <c r="D156" s="26"/>
      <c r="E156" s="190">
        <v>1.5</v>
      </c>
      <c r="F156" s="26">
        <f>1.5+1.5</f>
        <v>3</v>
      </c>
      <c r="G156" s="19">
        <f t="shared" si="68"/>
        <v>1.5</v>
      </c>
      <c r="H156" s="19">
        <f t="shared" si="69"/>
        <v>200</v>
      </c>
    </row>
    <row r="157" spans="1:13" ht="38.25" customHeight="1">
      <c r="A157" s="102"/>
      <c r="B157" s="143" t="s">
        <v>254</v>
      </c>
      <c r="C157" s="9"/>
      <c r="D157" s="26">
        <v>99</v>
      </c>
      <c r="E157" s="190">
        <v>150</v>
      </c>
      <c r="F157" s="26"/>
      <c r="G157" s="19">
        <f t="shared" si="68"/>
        <v>-150</v>
      </c>
      <c r="H157" s="19">
        <f t="shared" si="69"/>
        <v>0</v>
      </c>
    </row>
    <row r="158" spans="1:13" ht="29.25" customHeight="1">
      <c r="A158" s="115" t="s">
        <v>280</v>
      </c>
      <c r="B158" s="20" t="s">
        <v>77</v>
      </c>
      <c r="C158" s="116">
        <v>1020</v>
      </c>
      <c r="D158" s="117"/>
      <c r="E158" s="117">
        <v>1.5</v>
      </c>
      <c r="F158" s="117"/>
      <c r="G158" s="118">
        <f t="shared" si="68"/>
        <v>-1.5</v>
      </c>
      <c r="H158" s="118">
        <f t="shared" si="69"/>
        <v>0</v>
      </c>
    </row>
    <row r="159" spans="1:13" ht="25.5" customHeight="1">
      <c r="A159" s="119" t="s">
        <v>281</v>
      </c>
      <c r="B159" s="135" t="s">
        <v>145</v>
      </c>
      <c r="C159" s="128">
        <v>1025</v>
      </c>
      <c r="D159" s="126"/>
      <c r="E159" s="126">
        <v>1.5</v>
      </c>
      <c r="F159" s="126"/>
      <c r="G159" s="129">
        <f t="shared" si="68"/>
        <v>-1.5</v>
      </c>
      <c r="H159" s="129">
        <f t="shared" si="69"/>
        <v>0</v>
      </c>
      <c r="J159" s="144"/>
      <c r="K159" s="157"/>
    </row>
    <row r="160" spans="1:13" ht="37.5">
      <c r="A160" s="102"/>
      <c r="B160" s="16" t="s">
        <v>148</v>
      </c>
      <c r="C160" s="9"/>
      <c r="D160" s="26"/>
      <c r="E160" s="190">
        <v>1.5</v>
      </c>
      <c r="F160" s="26"/>
      <c r="G160" s="19">
        <f t="shared" si="68"/>
        <v>-1.5</v>
      </c>
      <c r="H160" s="19">
        <f t="shared" si="69"/>
        <v>0</v>
      </c>
      <c r="J160" s="144"/>
      <c r="K160" s="157"/>
    </row>
    <row r="161" spans="1:11" ht="27" customHeight="1">
      <c r="A161" s="102" t="s">
        <v>282</v>
      </c>
      <c r="B161" s="247" t="s">
        <v>255</v>
      </c>
      <c r="C161" s="13"/>
      <c r="D161" s="27">
        <f>D163</f>
        <v>16.600000000000001</v>
      </c>
      <c r="E161" s="27">
        <f>E163</f>
        <v>0</v>
      </c>
      <c r="F161" s="27">
        <f>F163</f>
        <v>24</v>
      </c>
      <c r="G161" s="68">
        <f t="shared" si="68"/>
        <v>24</v>
      </c>
      <c r="H161" s="250" t="e">
        <f t="shared" si="69"/>
        <v>#DIV/0!</v>
      </c>
    </row>
    <row r="162" spans="1:11" ht="26.25" customHeight="1">
      <c r="A162" s="102"/>
      <c r="B162" s="142" t="s">
        <v>72</v>
      </c>
      <c r="C162" s="13"/>
      <c r="D162" s="27"/>
      <c r="E162" s="27"/>
      <c r="F162" s="27"/>
      <c r="G162" s="68"/>
      <c r="H162" s="68"/>
    </row>
    <row r="163" spans="1:11" ht="28.5" customHeight="1">
      <c r="A163" s="115" t="s">
        <v>283</v>
      </c>
      <c r="B163" s="136" t="s">
        <v>10</v>
      </c>
      <c r="C163" s="116">
        <v>1030</v>
      </c>
      <c r="D163" s="117">
        <f>D164</f>
        <v>16.600000000000001</v>
      </c>
      <c r="E163" s="117">
        <f>E164</f>
        <v>0</v>
      </c>
      <c r="F163" s="117">
        <f>F164</f>
        <v>24</v>
      </c>
      <c r="G163" s="68">
        <f t="shared" si="68"/>
        <v>24</v>
      </c>
      <c r="H163" s="250" t="e">
        <f t="shared" si="69"/>
        <v>#DIV/0!</v>
      </c>
    </row>
    <row r="164" spans="1:11" ht="29.25" customHeight="1">
      <c r="A164" s="119" t="s">
        <v>284</v>
      </c>
      <c r="B164" s="185" t="s">
        <v>256</v>
      </c>
      <c r="C164" s="9">
        <v>1035</v>
      </c>
      <c r="D164" s="126">
        <v>16.600000000000001</v>
      </c>
      <c r="E164" s="126"/>
      <c r="F164" s="126">
        <v>24</v>
      </c>
      <c r="G164" s="19">
        <f t="shared" si="68"/>
        <v>24</v>
      </c>
      <c r="H164" s="244" t="e">
        <f t="shared" si="69"/>
        <v>#DIV/0!</v>
      </c>
      <c r="K164" s="154"/>
    </row>
    <row r="165" spans="1:11" ht="37.5">
      <c r="A165" s="102" t="s">
        <v>291</v>
      </c>
      <c r="B165" s="247" t="s">
        <v>202</v>
      </c>
      <c r="C165" s="9"/>
      <c r="D165" s="27">
        <f t="shared" ref="D165" si="73">SUM(D167,D169)</f>
        <v>6821.4</v>
      </c>
      <c r="E165" s="27">
        <f t="shared" ref="E165:F165" si="74">SUM(E167,E169)</f>
        <v>7350</v>
      </c>
      <c r="F165" s="27">
        <f t="shared" si="74"/>
        <v>8141.6</v>
      </c>
      <c r="G165" s="68">
        <f t="shared" si="68"/>
        <v>791.60000000000036</v>
      </c>
      <c r="H165" s="68">
        <f t="shared" si="69"/>
        <v>110.7700680272109</v>
      </c>
    </row>
    <row r="166" spans="1:11" ht="23.25" customHeight="1">
      <c r="A166" s="102"/>
      <c r="B166" s="113" t="s">
        <v>72</v>
      </c>
      <c r="C166" s="9"/>
      <c r="D166" s="27"/>
      <c r="E166" s="27"/>
      <c r="F166" s="27"/>
      <c r="G166" s="68"/>
      <c r="H166" s="68"/>
    </row>
    <row r="167" spans="1:11" ht="38.25" customHeight="1">
      <c r="A167" s="115" t="s">
        <v>292</v>
      </c>
      <c r="B167" s="20" t="s">
        <v>76</v>
      </c>
      <c r="C167" s="116">
        <v>1010</v>
      </c>
      <c r="D167" s="117">
        <f>D168</f>
        <v>6377.5999999999995</v>
      </c>
      <c r="E167" s="117">
        <f>E168</f>
        <v>6500</v>
      </c>
      <c r="F167" s="117">
        <f>F168</f>
        <v>7197</v>
      </c>
      <c r="G167" s="118">
        <f t="shared" si="68"/>
        <v>697</v>
      </c>
      <c r="H167" s="118">
        <f t="shared" si="69"/>
        <v>110.72307692307692</v>
      </c>
    </row>
    <row r="168" spans="1:11" ht="24.75" customHeight="1">
      <c r="A168" s="119"/>
      <c r="B168" s="113" t="s">
        <v>211</v>
      </c>
      <c r="C168" s="128">
        <v>1014</v>
      </c>
      <c r="D168" s="126">
        <f>6629.4-251.8</f>
        <v>6377.5999999999995</v>
      </c>
      <c r="E168" s="126">
        <v>6500</v>
      </c>
      <c r="F168" s="126">
        <f>7377.3-180.3</f>
        <v>7197</v>
      </c>
      <c r="G168" s="129">
        <f t="shared" si="68"/>
        <v>697</v>
      </c>
      <c r="H168" s="129">
        <f t="shared" si="69"/>
        <v>110.72307692307692</v>
      </c>
    </row>
    <row r="169" spans="1:11" ht="26.25" customHeight="1">
      <c r="A169" s="115" t="s">
        <v>293</v>
      </c>
      <c r="B169" s="136" t="s">
        <v>10</v>
      </c>
      <c r="C169" s="116">
        <v>1030</v>
      </c>
      <c r="D169" s="117">
        <f t="shared" ref="D169:F169" si="75">SUM(D170)</f>
        <v>443.8</v>
      </c>
      <c r="E169" s="117">
        <f t="shared" si="75"/>
        <v>850</v>
      </c>
      <c r="F169" s="117">
        <f t="shared" si="75"/>
        <v>944.6</v>
      </c>
      <c r="G169" s="118">
        <f t="shared" si="68"/>
        <v>94.600000000000023</v>
      </c>
      <c r="H169" s="118">
        <f t="shared" si="69"/>
        <v>111.12941176470588</v>
      </c>
    </row>
    <row r="170" spans="1:11" ht="24" customHeight="1">
      <c r="A170" s="119"/>
      <c r="B170" s="113" t="s">
        <v>214</v>
      </c>
      <c r="C170" s="128">
        <v>1034</v>
      </c>
      <c r="D170" s="126">
        <v>443.8</v>
      </c>
      <c r="E170" s="126">
        <v>850</v>
      </c>
      <c r="F170" s="126">
        <v>944.6</v>
      </c>
      <c r="G170" s="129">
        <f t="shared" si="68"/>
        <v>94.600000000000023</v>
      </c>
      <c r="H170" s="129">
        <f t="shared" si="69"/>
        <v>111.12941176470588</v>
      </c>
    </row>
    <row r="171" spans="1:11" ht="137.25" customHeight="1">
      <c r="B171" s="296" t="s">
        <v>131</v>
      </c>
      <c r="C171" s="296"/>
      <c r="D171" s="297"/>
      <c r="E171" s="297"/>
      <c r="F171" s="145"/>
      <c r="G171" s="298" t="s">
        <v>242</v>
      </c>
      <c r="H171" s="298"/>
    </row>
    <row r="172" spans="1:11">
      <c r="B172" s="240" t="s">
        <v>54</v>
      </c>
      <c r="C172" s="108"/>
      <c r="D172" s="293" t="s">
        <v>9</v>
      </c>
      <c r="E172" s="293"/>
      <c r="F172" s="146"/>
      <c r="G172" s="294" t="s">
        <v>14</v>
      </c>
      <c r="H172" s="294"/>
    </row>
    <row r="173" spans="1:11">
      <c r="B173" s="108"/>
    </row>
    <row r="174" spans="1:11">
      <c r="B174" s="108"/>
      <c r="C174" s="103"/>
      <c r="D174" s="178"/>
      <c r="E174" s="184"/>
      <c r="F174" s="103"/>
    </row>
    <row r="175" spans="1:11">
      <c r="B175" s="108"/>
      <c r="C175" s="103"/>
      <c r="D175" s="178"/>
      <c r="E175" s="184"/>
      <c r="F175" s="103"/>
    </row>
    <row r="176" spans="1:11">
      <c r="B176" s="108"/>
      <c r="C176" s="103"/>
      <c r="D176" s="178"/>
      <c r="E176" s="184"/>
      <c r="F176" s="103"/>
    </row>
    <row r="177" spans="2:6">
      <c r="B177" s="108"/>
      <c r="C177" s="103"/>
      <c r="D177" s="178"/>
      <c r="E177" s="184"/>
      <c r="F177" s="103"/>
    </row>
    <row r="178" spans="2:6">
      <c r="B178" s="108"/>
      <c r="C178" s="103"/>
      <c r="D178" s="178"/>
      <c r="E178" s="184"/>
      <c r="F178" s="103"/>
    </row>
    <row r="179" spans="2:6">
      <c r="B179" s="108"/>
      <c r="C179" s="103"/>
      <c r="D179" s="178"/>
      <c r="E179" s="184"/>
      <c r="F179" s="103"/>
    </row>
    <row r="180" spans="2:6">
      <c r="B180" s="108"/>
      <c r="C180" s="103"/>
      <c r="D180" s="178"/>
      <c r="E180" s="184"/>
      <c r="F180" s="103"/>
    </row>
    <row r="181" spans="2:6">
      <c r="B181" s="108"/>
      <c r="C181" s="103"/>
      <c r="D181" s="178"/>
      <c r="E181" s="184"/>
      <c r="F181" s="103"/>
    </row>
    <row r="182" spans="2:6">
      <c r="B182" s="108"/>
      <c r="C182" s="103"/>
      <c r="D182" s="178"/>
      <c r="E182" s="184"/>
      <c r="F182" s="103"/>
    </row>
    <row r="183" spans="2:6">
      <c r="B183" s="108"/>
      <c r="C183" s="103"/>
      <c r="D183" s="178"/>
      <c r="E183" s="184"/>
      <c r="F183" s="103"/>
    </row>
    <row r="184" spans="2:6">
      <c r="B184" s="108"/>
      <c r="C184" s="103"/>
      <c r="D184" s="178"/>
      <c r="E184" s="184"/>
      <c r="F184" s="103"/>
    </row>
    <row r="185" spans="2:6">
      <c r="B185" s="108"/>
      <c r="C185" s="103"/>
      <c r="D185" s="178"/>
      <c r="E185" s="184"/>
      <c r="F185" s="103"/>
    </row>
    <row r="186" spans="2:6">
      <c r="B186" s="108"/>
      <c r="C186" s="103"/>
      <c r="D186" s="178"/>
      <c r="E186" s="184"/>
      <c r="F186" s="103"/>
    </row>
    <row r="187" spans="2:6">
      <c r="B187" s="108"/>
      <c r="C187" s="103"/>
      <c r="D187" s="178"/>
      <c r="E187" s="184"/>
      <c r="F187" s="103"/>
    </row>
    <row r="188" spans="2:6">
      <c r="B188" s="108"/>
      <c r="C188" s="103"/>
      <c r="D188" s="178"/>
      <c r="E188" s="184"/>
      <c r="F188" s="103"/>
    </row>
    <row r="189" spans="2:6">
      <c r="B189" s="108"/>
      <c r="C189" s="103"/>
      <c r="D189" s="178"/>
      <c r="E189" s="184"/>
      <c r="F189" s="103"/>
    </row>
    <row r="190" spans="2:6">
      <c r="B190" s="108"/>
      <c r="C190" s="103"/>
      <c r="D190" s="178"/>
      <c r="E190" s="184"/>
      <c r="F190" s="103"/>
    </row>
    <row r="191" spans="2:6">
      <c r="B191" s="108"/>
      <c r="C191" s="103"/>
      <c r="D191" s="178"/>
      <c r="E191" s="184"/>
      <c r="F191" s="103"/>
    </row>
    <row r="192" spans="2:6">
      <c r="B192" s="108"/>
      <c r="C192" s="103"/>
      <c r="D192" s="178"/>
      <c r="E192" s="184"/>
      <c r="F192" s="103"/>
    </row>
    <row r="193" spans="2:6">
      <c r="B193" s="108"/>
      <c r="C193" s="103"/>
      <c r="D193" s="178"/>
      <c r="E193" s="184"/>
      <c r="F193" s="103"/>
    </row>
    <row r="194" spans="2:6">
      <c r="B194" s="108"/>
      <c r="C194" s="103"/>
      <c r="D194" s="178"/>
      <c r="E194" s="184"/>
      <c r="F194" s="103"/>
    </row>
    <row r="195" spans="2:6">
      <c r="B195" s="108"/>
      <c r="C195" s="103"/>
      <c r="D195" s="178"/>
      <c r="E195" s="184"/>
      <c r="F195" s="103"/>
    </row>
    <row r="196" spans="2:6">
      <c r="B196" s="108"/>
      <c r="C196" s="103"/>
      <c r="D196" s="178"/>
      <c r="E196" s="184"/>
      <c r="F196" s="103"/>
    </row>
    <row r="197" spans="2:6">
      <c r="B197" s="108"/>
      <c r="C197" s="103"/>
      <c r="D197" s="178"/>
      <c r="E197" s="184"/>
      <c r="F197" s="103"/>
    </row>
    <row r="198" spans="2:6">
      <c r="B198" s="108"/>
      <c r="C198" s="103"/>
      <c r="D198" s="178"/>
      <c r="E198" s="184"/>
      <c r="F198" s="103"/>
    </row>
    <row r="199" spans="2:6">
      <c r="B199" s="108"/>
      <c r="C199" s="103"/>
      <c r="D199" s="178"/>
      <c r="E199" s="184"/>
      <c r="F199" s="103"/>
    </row>
    <row r="200" spans="2:6">
      <c r="B200" s="108"/>
      <c r="C200" s="103"/>
      <c r="D200" s="178"/>
      <c r="E200" s="184"/>
      <c r="F200" s="103"/>
    </row>
    <row r="201" spans="2:6">
      <c r="B201" s="108"/>
      <c r="C201" s="103"/>
      <c r="D201" s="178"/>
      <c r="E201" s="184"/>
      <c r="F201" s="103"/>
    </row>
    <row r="202" spans="2:6">
      <c r="B202" s="108"/>
      <c r="C202" s="103"/>
      <c r="D202" s="178"/>
      <c r="E202" s="184"/>
      <c r="F202" s="103"/>
    </row>
    <row r="203" spans="2:6">
      <c r="B203" s="108"/>
      <c r="C203" s="103"/>
      <c r="D203" s="178"/>
      <c r="E203" s="184"/>
      <c r="F203" s="103"/>
    </row>
    <row r="204" spans="2:6">
      <c r="B204" s="108"/>
      <c r="C204" s="103"/>
      <c r="D204" s="178"/>
      <c r="E204" s="184"/>
      <c r="F204" s="103"/>
    </row>
    <row r="205" spans="2:6">
      <c r="B205" s="108"/>
      <c r="C205" s="103"/>
      <c r="D205" s="178"/>
      <c r="E205" s="184"/>
      <c r="F205" s="103"/>
    </row>
    <row r="206" spans="2:6">
      <c r="B206" s="108"/>
      <c r="C206" s="103"/>
      <c r="D206" s="178"/>
      <c r="E206" s="184"/>
      <c r="F206" s="103"/>
    </row>
  </sheetData>
  <mergeCells count="7">
    <mergeCell ref="D172:E172"/>
    <mergeCell ref="G172:H172"/>
    <mergeCell ref="B1:H1"/>
    <mergeCell ref="A5:B5"/>
    <mergeCell ref="B171:C171"/>
    <mergeCell ref="D171:E171"/>
    <mergeCell ref="G171:H171"/>
  </mergeCells>
  <pageMargins left="0.39370078740157483" right="0.39370078740157483" top="0.78740157480314965" bottom="0.39370078740157483" header="0.39370078740157483" footer="0.19685039370078741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</sheetPr>
  <dimension ref="A1:G55"/>
  <sheetViews>
    <sheetView view="pageBreakPreview" topLeftCell="A16" zoomScale="80" zoomScaleSheetLayoutView="80" workbookViewId="0">
      <selection activeCell="G5" sqref="G5:G7"/>
    </sheetView>
  </sheetViews>
  <sheetFormatPr defaultRowHeight="18.75"/>
  <cols>
    <col min="1" max="1" width="76.42578125" style="5" customWidth="1"/>
    <col min="2" max="2" width="10.140625" style="66" customWidth="1"/>
    <col min="3" max="3" width="14.7109375" style="37" customWidth="1"/>
    <col min="4" max="4" width="14.28515625" style="30" customWidth="1"/>
    <col min="5" max="5" width="14.140625" style="30" customWidth="1"/>
    <col min="6" max="7" width="15" style="66" customWidth="1"/>
    <col min="8" max="16384" width="9.140625" style="5"/>
  </cols>
  <sheetData>
    <row r="1" spans="1:7" ht="19.5" customHeight="1">
      <c r="A1" s="286" t="s">
        <v>85</v>
      </c>
      <c r="B1" s="286"/>
      <c r="C1" s="286"/>
      <c r="D1" s="286"/>
      <c r="E1" s="286"/>
      <c r="F1" s="286"/>
    </row>
    <row r="2" spans="1:7" ht="15" customHeight="1">
      <c r="A2" s="187"/>
      <c r="B2" s="93"/>
      <c r="C2" s="36"/>
      <c r="D2" s="186"/>
      <c r="E2" s="186"/>
      <c r="F2" s="93"/>
      <c r="G2" s="24" t="s">
        <v>59</v>
      </c>
    </row>
    <row r="3" spans="1:7" ht="74.25" customHeight="1">
      <c r="A3" s="51" t="s">
        <v>20</v>
      </c>
      <c r="B3" s="11" t="s">
        <v>4</v>
      </c>
      <c r="C3" s="11" t="s">
        <v>248</v>
      </c>
      <c r="D3" s="11" t="s">
        <v>299</v>
      </c>
      <c r="E3" s="11" t="s">
        <v>301</v>
      </c>
      <c r="F3" s="106" t="s">
        <v>95</v>
      </c>
      <c r="G3" s="11" t="s">
        <v>96</v>
      </c>
    </row>
    <row r="4" spans="1:7" s="14" customFormat="1" ht="21" customHeight="1">
      <c r="A4" s="51">
        <v>1</v>
      </c>
      <c r="B4" s="42">
        <v>2</v>
      </c>
      <c r="C4" s="52">
        <v>3</v>
      </c>
      <c r="D4" s="17">
        <v>4</v>
      </c>
      <c r="E4" s="17">
        <v>5</v>
      </c>
      <c r="F4" s="42">
        <v>6</v>
      </c>
      <c r="G4" s="15">
        <v>7</v>
      </c>
    </row>
    <row r="5" spans="1:7" ht="32.25" customHeight="1">
      <c r="A5" s="32" t="s">
        <v>212</v>
      </c>
      <c r="B5" s="13">
        <v>4000</v>
      </c>
      <c r="C5" s="53">
        <f>C6+C20+C21</f>
        <v>1512.1</v>
      </c>
      <c r="D5" s="53">
        <f>D6+D20+D21</f>
        <v>0</v>
      </c>
      <c r="E5" s="53">
        <f>E6+E20+E21</f>
        <v>4726.7000000000007</v>
      </c>
      <c r="F5" s="54">
        <f t="shared" ref="F5:F6" si="0">E5-D5</f>
        <v>4726.7000000000007</v>
      </c>
      <c r="G5" s="228" t="e">
        <f>(E5/D5)*100</f>
        <v>#DIV/0!</v>
      </c>
    </row>
    <row r="6" spans="1:7" ht="24.75" customHeight="1">
      <c r="A6" s="20" t="s">
        <v>151</v>
      </c>
      <c r="B6" s="169">
        <v>4020</v>
      </c>
      <c r="C6" s="171">
        <f>SUM(C7:C11)</f>
        <v>385.59999999999997</v>
      </c>
      <c r="D6" s="171">
        <f>SUM(D7:D11)</f>
        <v>0</v>
      </c>
      <c r="E6" s="171">
        <f>SUM(E7:E19)</f>
        <v>4541.2000000000007</v>
      </c>
      <c r="F6" s="172">
        <f t="shared" si="0"/>
        <v>4541.2000000000007</v>
      </c>
      <c r="G6" s="229" t="e">
        <f t="shared" ref="G6" si="1">(E6/D6)*100</f>
        <v>#DIV/0!</v>
      </c>
    </row>
    <row r="7" spans="1:7" ht="23.25" customHeight="1">
      <c r="A7" s="16" t="s">
        <v>257</v>
      </c>
      <c r="B7" s="21"/>
      <c r="C7" s="19">
        <v>96</v>
      </c>
      <c r="D7" s="19"/>
      <c r="E7" s="19"/>
      <c r="F7" s="12">
        <f>E7-D7</f>
        <v>0</v>
      </c>
      <c r="G7" s="99" t="e">
        <f>E7/D7*100</f>
        <v>#DIV/0!</v>
      </c>
    </row>
    <row r="8" spans="1:7" ht="43.5" customHeight="1">
      <c r="A8" s="16" t="s">
        <v>258</v>
      </c>
      <c r="B8" s="21"/>
      <c r="C8" s="19">
        <v>237.9</v>
      </c>
      <c r="D8" s="19"/>
      <c r="E8" s="19"/>
      <c r="F8" s="12">
        <f t="shared" ref="F8:F23" si="2">E8-D8</f>
        <v>0</v>
      </c>
      <c r="G8" s="99" t="e">
        <f t="shared" ref="G8:G23" si="3">E8/D8*100</f>
        <v>#DIV/0!</v>
      </c>
    </row>
    <row r="9" spans="1:7" ht="26.25" customHeight="1">
      <c r="A9" s="16" t="s">
        <v>259</v>
      </c>
      <c r="B9" s="21"/>
      <c r="C9" s="19">
        <v>24.8</v>
      </c>
      <c r="D9" s="19"/>
      <c r="E9" s="19"/>
      <c r="F9" s="12">
        <f t="shared" si="2"/>
        <v>0</v>
      </c>
      <c r="G9" s="99" t="e">
        <f t="shared" si="3"/>
        <v>#DIV/0!</v>
      </c>
    </row>
    <row r="10" spans="1:7" ht="27" customHeight="1">
      <c r="A10" s="16" t="s">
        <v>260</v>
      </c>
      <c r="B10" s="21"/>
      <c r="C10" s="19">
        <v>26.9</v>
      </c>
      <c r="D10" s="19"/>
      <c r="E10" s="19"/>
      <c r="F10" s="12">
        <f t="shared" si="2"/>
        <v>0</v>
      </c>
      <c r="G10" s="99" t="e">
        <f t="shared" si="3"/>
        <v>#DIV/0!</v>
      </c>
    </row>
    <row r="11" spans="1:7" ht="26.25" customHeight="1">
      <c r="A11" s="28" t="s">
        <v>270</v>
      </c>
      <c r="B11" s="21"/>
      <c r="C11" s="19"/>
      <c r="D11" s="19"/>
      <c r="E11" s="19"/>
      <c r="F11" s="12">
        <f t="shared" si="2"/>
        <v>0</v>
      </c>
      <c r="G11" s="99" t="e">
        <f t="shared" si="3"/>
        <v>#DIV/0!</v>
      </c>
    </row>
    <row r="12" spans="1:7" ht="26.25" customHeight="1">
      <c r="A12" s="28" t="s">
        <v>325</v>
      </c>
      <c r="B12" s="21"/>
      <c r="C12" s="19"/>
      <c r="D12" s="19"/>
      <c r="E12" s="19">
        <v>556</v>
      </c>
      <c r="F12" s="12">
        <f t="shared" si="2"/>
        <v>556</v>
      </c>
      <c r="G12" s="99" t="e">
        <f t="shared" si="3"/>
        <v>#DIV/0!</v>
      </c>
    </row>
    <row r="13" spans="1:7" ht="26.25" customHeight="1">
      <c r="A13" s="28" t="s">
        <v>326</v>
      </c>
      <c r="B13" s="21"/>
      <c r="C13" s="19"/>
      <c r="D13" s="19"/>
      <c r="E13" s="19">
        <v>439</v>
      </c>
      <c r="F13" s="12">
        <f t="shared" si="2"/>
        <v>439</v>
      </c>
      <c r="G13" s="99" t="e">
        <f t="shared" si="3"/>
        <v>#DIV/0!</v>
      </c>
    </row>
    <row r="14" spans="1:7" ht="26.25" customHeight="1">
      <c r="A14" s="28" t="s">
        <v>332</v>
      </c>
      <c r="B14" s="21"/>
      <c r="C14" s="19"/>
      <c r="D14" s="19"/>
      <c r="E14" s="19">
        <v>20.399999999999999</v>
      </c>
      <c r="F14" s="12">
        <f t="shared" si="2"/>
        <v>20.399999999999999</v>
      </c>
      <c r="G14" s="99" t="e">
        <f t="shared" si="3"/>
        <v>#DIV/0!</v>
      </c>
    </row>
    <row r="15" spans="1:7" ht="26.25" customHeight="1">
      <c r="A15" s="28" t="s">
        <v>327</v>
      </c>
      <c r="B15" s="21"/>
      <c r="C15" s="19"/>
      <c r="D15" s="19"/>
      <c r="E15" s="19">
        <v>2940</v>
      </c>
      <c r="F15" s="12">
        <f t="shared" si="2"/>
        <v>2940</v>
      </c>
      <c r="G15" s="99" t="e">
        <f t="shared" si="3"/>
        <v>#DIV/0!</v>
      </c>
    </row>
    <row r="16" spans="1:7" ht="26.25" customHeight="1">
      <c r="A16" s="28" t="s">
        <v>328</v>
      </c>
      <c r="B16" s="21"/>
      <c r="C16" s="19"/>
      <c r="D16" s="19"/>
      <c r="E16" s="19">
        <v>186.5</v>
      </c>
      <c r="F16" s="12">
        <f t="shared" si="2"/>
        <v>186.5</v>
      </c>
      <c r="G16" s="99" t="e">
        <f t="shared" si="3"/>
        <v>#DIV/0!</v>
      </c>
    </row>
    <row r="17" spans="1:7" ht="26.25" customHeight="1">
      <c r="A17" s="28" t="s">
        <v>329</v>
      </c>
      <c r="B17" s="21"/>
      <c r="C17" s="19"/>
      <c r="D17" s="19"/>
      <c r="E17" s="19">
        <v>68.099999999999994</v>
      </c>
      <c r="F17" s="12">
        <f t="shared" si="2"/>
        <v>68.099999999999994</v>
      </c>
      <c r="G17" s="99" t="e">
        <f t="shared" si="3"/>
        <v>#DIV/0!</v>
      </c>
    </row>
    <row r="18" spans="1:7" ht="26.25" customHeight="1">
      <c r="A18" s="28" t="s">
        <v>330</v>
      </c>
      <c r="B18" s="21"/>
      <c r="C18" s="19"/>
      <c r="D18" s="19"/>
      <c r="E18" s="19">
        <v>91.6</v>
      </c>
      <c r="F18" s="12">
        <f t="shared" si="2"/>
        <v>91.6</v>
      </c>
      <c r="G18" s="99" t="e">
        <f t="shared" si="3"/>
        <v>#DIV/0!</v>
      </c>
    </row>
    <row r="19" spans="1:7" ht="26.25" customHeight="1">
      <c r="A19" s="28" t="s">
        <v>331</v>
      </c>
      <c r="B19" s="21"/>
      <c r="C19" s="19"/>
      <c r="D19" s="19"/>
      <c r="E19" s="19">
        <v>239.6</v>
      </c>
      <c r="F19" s="12">
        <f t="shared" si="2"/>
        <v>239.6</v>
      </c>
      <c r="G19" s="99" t="e">
        <f t="shared" si="3"/>
        <v>#DIV/0!</v>
      </c>
    </row>
    <row r="20" spans="1:7" ht="46.5" customHeight="1">
      <c r="A20" s="20" t="s">
        <v>57</v>
      </c>
      <c r="B20" s="169">
        <v>4050</v>
      </c>
      <c r="C20" s="118"/>
      <c r="D20" s="129"/>
      <c r="E20" s="118"/>
      <c r="F20" s="166">
        <f t="shared" si="2"/>
        <v>0</v>
      </c>
      <c r="G20" s="170" t="e">
        <f t="shared" si="3"/>
        <v>#DIV/0!</v>
      </c>
    </row>
    <row r="21" spans="1:7" ht="24.75" customHeight="1">
      <c r="A21" s="167" t="s">
        <v>261</v>
      </c>
      <c r="B21" s="147">
        <v>4060</v>
      </c>
      <c r="C21" s="168">
        <v>1126.5</v>
      </c>
      <c r="D21" s="118">
        <f>D22</f>
        <v>0</v>
      </c>
      <c r="E21" s="168">
        <f>E22+E23</f>
        <v>185.5</v>
      </c>
      <c r="F21" s="166">
        <f t="shared" si="2"/>
        <v>185.5</v>
      </c>
      <c r="G21" s="227" t="e">
        <f t="shared" si="3"/>
        <v>#DIV/0!</v>
      </c>
    </row>
    <row r="22" spans="1:7" ht="39.75" customHeight="1">
      <c r="A22" s="143" t="s">
        <v>262</v>
      </c>
      <c r="B22" s="11"/>
      <c r="C22" s="19">
        <v>1126.5</v>
      </c>
      <c r="D22" s="19"/>
      <c r="E22" s="19"/>
      <c r="F22" s="12">
        <f t="shared" si="2"/>
        <v>0</v>
      </c>
      <c r="G22" s="99" t="e">
        <f t="shared" si="3"/>
        <v>#DIV/0!</v>
      </c>
    </row>
    <row r="23" spans="1:7" ht="39.75" customHeight="1">
      <c r="A23" s="143" t="s">
        <v>333</v>
      </c>
      <c r="B23" s="11"/>
      <c r="C23" s="19"/>
      <c r="D23" s="19"/>
      <c r="E23" s="19">
        <v>185.5</v>
      </c>
      <c r="F23" s="12">
        <f t="shared" si="2"/>
        <v>185.5</v>
      </c>
      <c r="G23" s="99" t="e">
        <f t="shared" si="3"/>
        <v>#DIV/0!</v>
      </c>
    </row>
    <row r="24" spans="1:7" ht="108" customHeight="1">
      <c r="A24" s="280" t="s">
        <v>131</v>
      </c>
      <c r="B24" s="280"/>
      <c r="C24" s="38"/>
      <c r="D24" s="55"/>
      <c r="E24" s="96"/>
      <c r="F24" s="97" t="s">
        <v>242</v>
      </c>
      <c r="G24" s="98"/>
    </row>
    <row r="25" spans="1:7" s="14" customFormat="1" ht="16.5" customHeight="1">
      <c r="A25" s="25" t="s">
        <v>8</v>
      </c>
      <c r="B25" s="188"/>
      <c r="C25" s="299" t="s">
        <v>9</v>
      </c>
      <c r="D25" s="299"/>
      <c r="E25" s="300" t="s">
        <v>14</v>
      </c>
      <c r="F25" s="300"/>
      <c r="G25" s="300"/>
    </row>
    <row r="26" spans="1:7">
      <c r="A26" s="6"/>
    </row>
    <row r="27" spans="1:7">
      <c r="A27" s="6"/>
    </row>
    <row r="28" spans="1:7">
      <c r="A28" s="6"/>
    </row>
    <row r="29" spans="1:7">
      <c r="A29" s="6"/>
    </row>
    <row r="30" spans="1:7">
      <c r="A30" s="6"/>
    </row>
    <row r="31" spans="1:7">
      <c r="A31" s="6"/>
    </row>
    <row r="32" spans="1:7">
      <c r="A32" s="6"/>
    </row>
    <row r="33" spans="1:1">
      <c r="A33" s="6"/>
    </row>
    <row r="34" spans="1:1">
      <c r="A34" s="6"/>
    </row>
    <row r="35" spans="1:1">
      <c r="A35" s="6"/>
    </row>
    <row r="36" spans="1:1">
      <c r="A36" s="6"/>
    </row>
    <row r="37" spans="1:1">
      <c r="A37" s="6"/>
    </row>
    <row r="38" spans="1:1">
      <c r="A38" s="6"/>
    </row>
    <row r="39" spans="1:1">
      <c r="A39" s="6"/>
    </row>
    <row r="40" spans="1:1">
      <c r="A40" s="6"/>
    </row>
    <row r="41" spans="1:1">
      <c r="A41" s="6"/>
    </row>
    <row r="42" spans="1:1">
      <c r="A42" s="6"/>
    </row>
    <row r="43" spans="1:1">
      <c r="A43" s="6"/>
    </row>
    <row r="44" spans="1:1">
      <c r="A44" s="6"/>
    </row>
    <row r="45" spans="1:1">
      <c r="A45" s="6"/>
    </row>
    <row r="46" spans="1:1">
      <c r="A46" s="6"/>
    </row>
    <row r="47" spans="1:1">
      <c r="A47" s="6"/>
    </row>
    <row r="48" spans="1:1">
      <c r="A48" s="6"/>
    </row>
    <row r="49" spans="1:1">
      <c r="A49" s="6"/>
    </row>
    <row r="50" spans="1:1">
      <c r="A50" s="6"/>
    </row>
    <row r="51" spans="1:1">
      <c r="A51" s="6"/>
    </row>
    <row r="52" spans="1:1">
      <c r="A52" s="6"/>
    </row>
    <row r="53" spans="1:1">
      <c r="A53" s="6"/>
    </row>
    <row r="54" spans="1:1">
      <c r="A54" s="6"/>
    </row>
    <row r="55" spans="1:1">
      <c r="A55" s="6"/>
    </row>
  </sheetData>
  <mergeCells count="4">
    <mergeCell ref="A1:F1"/>
    <mergeCell ref="A24:B24"/>
    <mergeCell ref="C25:D25"/>
    <mergeCell ref="E25:G25"/>
  </mergeCells>
  <printOptions horizontalCentered="1"/>
  <pageMargins left="0.39370078740157483" right="0.39370078740157483" top="0.59055118110236227" bottom="0.39370078740157483" header="0.19685039370078741" footer="0.19685039370078741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99"/>
  </sheetPr>
  <dimension ref="A1:N23"/>
  <sheetViews>
    <sheetView view="pageBreakPreview" zoomScale="60" zoomScaleNormal="60" workbookViewId="0">
      <selection activeCell="B6" sqref="B6"/>
    </sheetView>
  </sheetViews>
  <sheetFormatPr defaultRowHeight="20.25"/>
  <cols>
    <col min="1" max="1" width="5.42578125" style="39" customWidth="1"/>
    <col min="2" max="2" width="36.28515625" style="39" customWidth="1"/>
    <col min="3" max="3" width="14.28515625" style="39" customWidth="1"/>
    <col min="4" max="4" width="13.7109375" style="39" customWidth="1"/>
    <col min="5" max="5" width="14" style="39" customWidth="1"/>
    <col min="6" max="6" width="14.5703125" style="39" customWidth="1"/>
    <col min="7" max="7" width="14" style="39" customWidth="1"/>
    <col min="8" max="8" width="13.5703125" style="39" customWidth="1"/>
    <col min="9" max="9" width="13.7109375" style="39" customWidth="1"/>
    <col min="10" max="10" width="13.42578125" style="39" customWidth="1"/>
    <col min="11" max="11" width="13.5703125" style="39" customWidth="1"/>
    <col min="12" max="12" width="13.140625" style="39" customWidth="1"/>
    <col min="13" max="13" width="12.28515625" style="39" customWidth="1"/>
    <col min="14" max="14" width="12.42578125" style="39" customWidth="1"/>
    <col min="15" max="16" width="9.140625" style="3"/>
    <col min="17" max="19" width="9.140625" style="3" customWidth="1"/>
    <col min="20" max="16384" width="9.140625" style="3"/>
  </cols>
  <sheetData>
    <row r="1" spans="1:14" s="7" customFormat="1" ht="32.25" customHeight="1">
      <c r="A1" s="269" t="s">
        <v>137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40"/>
    </row>
    <row r="2" spans="1:14">
      <c r="A2" s="61"/>
      <c r="B2" s="61"/>
      <c r="C2" s="41"/>
      <c r="D2" s="41"/>
      <c r="E2" s="41"/>
      <c r="F2" s="41"/>
      <c r="N2" s="62" t="s">
        <v>45</v>
      </c>
    </row>
    <row r="3" spans="1:14" ht="60" customHeight="1">
      <c r="A3" s="304" t="s">
        <v>6</v>
      </c>
      <c r="B3" s="310" t="s">
        <v>17</v>
      </c>
      <c r="C3" s="306" t="s">
        <v>104</v>
      </c>
      <c r="D3" s="307"/>
      <c r="E3" s="306" t="s">
        <v>205</v>
      </c>
      <c r="F3" s="307"/>
      <c r="G3" s="306" t="s">
        <v>334</v>
      </c>
      <c r="H3" s="307"/>
      <c r="I3" s="306" t="s">
        <v>206</v>
      </c>
      <c r="J3" s="307"/>
      <c r="K3" s="306" t="s">
        <v>105</v>
      </c>
      <c r="L3" s="307"/>
      <c r="M3" s="307"/>
      <c r="N3" s="308"/>
    </row>
    <row r="4" spans="1:14" ht="81" customHeight="1">
      <c r="A4" s="305"/>
      <c r="B4" s="311"/>
      <c r="C4" s="10" t="s">
        <v>299</v>
      </c>
      <c r="D4" s="11" t="s">
        <v>300</v>
      </c>
      <c r="E4" s="10" t="s">
        <v>299</v>
      </c>
      <c r="F4" s="11" t="s">
        <v>300</v>
      </c>
      <c r="G4" s="10" t="s">
        <v>299</v>
      </c>
      <c r="H4" s="11" t="s">
        <v>300</v>
      </c>
      <c r="I4" s="10" t="s">
        <v>299</v>
      </c>
      <c r="J4" s="11" t="s">
        <v>300</v>
      </c>
      <c r="K4" s="10" t="s">
        <v>299</v>
      </c>
      <c r="L4" s="11" t="s">
        <v>300</v>
      </c>
      <c r="M4" s="42" t="s">
        <v>92</v>
      </c>
      <c r="N4" s="42" t="s">
        <v>94</v>
      </c>
    </row>
    <row r="5" spans="1:14" ht="16.5" customHeight="1">
      <c r="A5" s="42">
        <v>1</v>
      </c>
      <c r="B5" s="242">
        <v>2</v>
      </c>
      <c r="C5" s="15">
        <v>3</v>
      </c>
      <c r="D5" s="42">
        <v>4</v>
      </c>
      <c r="E5" s="15">
        <v>5</v>
      </c>
      <c r="F5" s="42">
        <v>6</v>
      </c>
      <c r="G5" s="15">
        <v>7</v>
      </c>
      <c r="H5" s="42">
        <v>8</v>
      </c>
      <c r="I5" s="15">
        <v>9</v>
      </c>
      <c r="J5" s="15">
        <v>10</v>
      </c>
      <c r="K5" s="15">
        <v>11</v>
      </c>
      <c r="L5" s="15">
        <v>12</v>
      </c>
      <c r="M5" s="15">
        <v>13</v>
      </c>
      <c r="N5" s="15">
        <v>14</v>
      </c>
    </row>
    <row r="6" spans="1:14" ht="58.5" customHeight="1">
      <c r="A6" s="159">
        <v>1</v>
      </c>
      <c r="B6" s="253" t="s">
        <v>263</v>
      </c>
      <c r="C6" s="43"/>
      <c r="D6" s="43"/>
      <c r="E6" s="43"/>
      <c r="F6" s="43"/>
      <c r="G6" s="43"/>
      <c r="H6" s="43">
        <f>SUM(H7:H14)</f>
        <v>3546.2</v>
      </c>
      <c r="I6" s="43">
        <f>I11+I12+I13+I14</f>
        <v>0</v>
      </c>
      <c r="J6" s="43">
        <f>SUM(J7:J14)</f>
        <v>995</v>
      </c>
      <c r="K6" s="43">
        <f>C6+E6+G6+I6</f>
        <v>0</v>
      </c>
      <c r="L6" s="43">
        <f>D6+F6+H6+J6</f>
        <v>4541.2</v>
      </c>
      <c r="M6" s="43">
        <f>K6-L6</f>
        <v>-4541.2</v>
      </c>
      <c r="N6" s="43" t="e">
        <f>L6/K6*100</f>
        <v>#DIV/0!</v>
      </c>
    </row>
    <row r="7" spans="1:14" ht="58.5" customHeight="1">
      <c r="A7" s="159"/>
      <c r="B7" s="28" t="s">
        <v>325</v>
      </c>
      <c r="C7" s="43"/>
      <c r="D7" s="19"/>
      <c r="E7" s="43"/>
      <c r="F7" s="43"/>
      <c r="G7" s="43"/>
      <c r="H7" s="43"/>
      <c r="I7" s="43"/>
      <c r="J7" s="19">
        <v>556</v>
      </c>
      <c r="K7" s="43"/>
      <c r="L7" s="43">
        <f>J7</f>
        <v>556</v>
      </c>
      <c r="M7" s="43">
        <f t="shared" ref="M7:M11" si="0">K7-L7</f>
        <v>-556</v>
      </c>
      <c r="N7" s="43" t="e">
        <f t="shared" ref="N7:N11" si="1">L7/K7*100</f>
        <v>#DIV/0!</v>
      </c>
    </row>
    <row r="8" spans="1:14" ht="63.75" customHeight="1">
      <c r="A8" s="159"/>
      <c r="B8" s="28" t="s">
        <v>326</v>
      </c>
      <c r="C8" s="43"/>
      <c r="D8" s="19"/>
      <c r="E8" s="43"/>
      <c r="F8" s="43"/>
      <c r="G8" s="43"/>
      <c r="H8" s="43"/>
      <c r="I8" s="43"/>
      <c r="J8" s="19">
        <v>439</v>
      </c>
      <c r="K8" s="43"/>
      <c r="L8" s="43">
        <f>J8+H8+F8+D8</f>
        <v>439</v>
      </c>
      <c r="M8" s="43">
        <f t="shared" si="0"/>
        <v>-439</v>
      </c>
      <c r="N8" s="43" t="e">
        <f t="shared" si="1"/>
        <v>#DIV/0!</v>
      </c>
    </row>
    <row r="9" spans="1:14" ht="26.25" customHeight="1">
      <c r="A9" s="159"/>
      <c r="B9" s="28" t="s">
        <v>332</v>
      </c>
      <c r="C9" s="43"/>
      <c r="D9" s="19"/>
      <c r="E9" s="43"/>
      <c r="F9" s="43"/>
      <c r="G9" s="43"/>
      <c r="H9" s="19">
        <v>20.399999999999999</v>
      </c>
      <c r="I9" s="43"/>
      <c r="J9" s="43"/>
      <c r="K9" s="43"/>
      <c r="L9" s="43">
        <f t="shared" ref="L9:L10" si="2">J9+H9+F9+D9</f>
        <v>20.399999999999999</v>
      </c>
      <c r="M9" s="43">
        <f t="shared" ref="M9:M10" si="3">K9-L9</f>
        <v>-20.399999999999999</v>
      </c>
      <c r="N9" s="43" t="e">
        <f t="shared" si="1"/>
        <v>#DIV/0!</v>
      </c>
    </row>
    <row r="10" spans="1:14" ht="26.25" customHeight="1">
      <c r="A10" s="159"/>
      <c r="B10" s="28" t="s">
        <v>327</v>
      </c>
      <c r="C10" s="43"/>
      <c r="D10" s="19"/>
      <c r="E10" s="43"/>
      <c r="F10" s="43"/>
      <c r="G10" s="43"/>
      <c r="H10" s="19">
        <v>2940</v>
      </c>
      <c r="I10" s="43"/>
      <c r="J10" s="43"/>
      <c r="K10" s="43"/>
      <c r="L10" s="43">
        <f t="shared" si="2"/>
        <v>2940</v>
      </c>
      <c r="M10" s="43">
        <f t="shared" si="3"/>
        <v>-2940</v>
      </c>
      <c r="N10" s="43" t="e">
        <f t="shared" si="1"/>
        <v>#DIV/0!</v>
      </c>
    </row>
    <row r="11" spans="1:14" ht="26.25" customHeight="1">
      <c r="A11" s="159"/>
      <c r="B11" s="28" t="s">
        <v>328</v>
      </c>
      <c r="C11" s="43"/>
      <c r="D11" s="19"/>
      <c r="E11" s="43"/>
      <c r="F11" s="43"/>
      <c r="G11" s="43"/>
      <c r="H11" s="19">
        <v>186.5</v>
      </c>
      <c r="I11" s="43"/>
      <c r="J11" s="19"/>
      <c r="K11" s="43">
        <f t="shared" ref="K11:K17" si="4">C11+E11+G11+I11</f>
        <v>0</v>
      </c>
      <c r="L11" s="43">
        <f t="shared" ref="L11:L17" si="5">D11+F11+H11+J11</f>
        <v>186.5</v>
      </c>
      <c r="M11" s="43">
        <f t="shared" si="0"/>
        <v>-186.5</v>
      </c>
      <c r="N11" s="100" t="e">
        <f t="shared" si="1"/>
        <v>#DIV/0!</v>
      </c>
    </row>
    <row r="12" spans="1:14" ht="39" customHeight="1">
      <c r="A12" s="159"/>
      <c r="B12" s="28" t="s">
        <v>329</v>
      </c>
      <c r="C12" s="43"/>
      <c r="D12" s="19"/>
      <c r="E12" s="43"/>
      <c r="F12" s="43"/>
      <c r="G12" s="43"/>
      <c r="H12" s="19">
        <v>68.099999999999994</v>
      </c>
      <c r="I12" s="43"/>
      <c r="J12" s="19"/>
      <c r="K12" s="43">
        <f t="shared" si="4"/>
        <v>0</v>
      </c>
      <c r="L12" s="43">
        <f t="shared" si="5"/>
        <v>68.099999999999994</v>
      </c>
      <c r="M12" s="43">
        <f t="shared" ref="M12:M15" si="6">K12-L12</f>
        <v>-68.099999999999994</v>
      </c>
      <c r="N12" s="43" t="e">
        <f t="shared" ref="N12:N15" si="7">L12/K12*100</f>
        <v>#DIV/0!</v>
      </c>
    </row>
    <row r="13" spans="1:14" ht="24.75" customHeight="1">
      <c r="A13" s="159"/>
      <c r="B13" s="28" t="s">
        <v>330</v>
      </c>
      <c r="C13" s="43"/>
      <c r="D13" s="19"/>
      <c r="E13" s="43"/>
      <c r="F13" s="43"/>
      <c r="G13" s="43"/>
      <c r="H13" s="19">
        <v>91.6</v>
      </c>
      <c r="I13" s="43"/>
      <c r="J13" s="19"/>
      <c r="K13" s="43">
        <f t="shared" si="4"/>
        <v>0</v>
      </c>
      <c r="L13" s="43">
        <f t="shared" si="5"/>
        <v>91.6</v>
      </c>
      <c r="M13" s="43">
        <f t="shared" ref="M13:M14" si="8">K13-L13</f>
        <v>-91.6</v>
      </c>
      <c r="N13" s="100" t="e">
        <f t="shared" ref="N13:N14" si="9">L13/K13*100</f>
        <v>#DIV/0!</v>
      </c>
    </row>
    <row r="14" spans="1:14" ht="36.75" customHeight="1">
      <c r="A14" s="159"/>
      <c r="B14" s="28" t="s">
        <v>331</v>
      </c>
      <c r="C14" s="43"/>
      <c r="D14" s="19"/>
      <c r="E14" s="43"/>
      <c r="F14" s="43"/>
      <c r="G14" s="43"/>
      <c r="H14" s="19">
        <v>239.6</v>
      </c>
      <c r="I14" s="43"/>
      <c r="J14" s="19"/>
      <c r="K14" s="43">
        <f t="shared" si="4"/>
        <v>0</v>
      </c>
      <c r="L14" s="43">
        <f t="shared" si="5"/>
        <v>239.6</v>
      </c>
      <c r="M14" s="43">
        <f t="shared" si="8"/>
        <v>-239.6</v>
      </c>
      <c r="N14" s="100" t="e">
        <f t="shared" si="9"/>
        <v>#DIV/0!</v>
      </c>
    </row>
    <row r="15" spans="1:14" ht="46.5" customHeight="1">
      <c r="A15" s="159">
        <v>2</v>
      </c>
      <c r="B15" s="253" t="s">
        <v>264</v>
      </c>
      <c r="C15" s="43"/>
      <c r="D15" s="43"/>
      <c r="E15" s="43"/>
      <c r="F15" s="43"/>
      <c r="G15" s="43"/>
      <c r="H15" s="43">
        <f>H16</f>
        <v>185.5</v>
      </c>
      <c r="I15" s="43">
        <f>I16</f>
        <v>0</v>
      </c>
      <c r="J15" s="43"/>
      <c r="K15" s="43">
        <f t="shared" si="4"/>
        <v>0</v>
      </c>
      <c r="L15" s="43">
        <f t="shared" si="5"/>
        <v>185.5</v>
      </c>
      <c r="M15" s="43">
        <f t="shared" si="6"/>
        <v>-185.5</v>
      </c>
      <c r="N15" s="43" t="e">
        <f t="shared" si="7"/>
        <v>#DIV/0!</v>
      </c>
    </row>
    <row r="16" spans="1:14" ht="68.25" customHeight="1">
      <c r="A16" s="63"/>
      <c r="B16" s="143" t="s">
        <v>333</v>
      </c>
      <c r="C16" s="43"/>
      <c r="D16" s="43"/>
      <c r="E16" s="43"/>
      <c r="F16" s="43"/>
      <c r="G16" s="43"/>
      <c r="H16" s="43">
        <v>185.5</v>
      </c>
      <c r="I16" s="43"/>
      <c r="J16" s="44"/>
      <c r="K16" s="43">
        <f t="shared" si="4"/>
        <v>0</v>
      </c>
      <c r="L16" s="43">
        <f t="shared" si="5"/>
        <v>185.5</v>
      </c>
      <c r="M16" s="43">
        <f t="shared" ref="M16" si="10">K16-L16</f>
        <v>-185.5</v>
      </c>
      <c r="N16" s="43" t="e">
        <f t="shared" ref="N16" si="11">L16/K16*100</f>
        <v>#DIV/0!</v>
      </c>
    </row>
    <row r="17" spans="1:14" ht="24.75" customHeight="1">
      <c r="A17" s="309" t="s">
        <v>7</v>
      </c>
      <c r="B17" s="309"/>
      <c r="C17" s="46"/>
      <c r="D17" s="46"/>
      <c r="E17" s="46"/>
      <c r="F17" s="46">
        <f t="shared" ref="F17:N17" si="12">F6</f>
        <v>0</v>
      </c>
      <c r="G17" s="46"/>
      <c r="H17" s="46">
        <f>H6+H15</f>
        <v>3731.7</v>
      </c>
      <c r="I17" s="46">
        <f>I6+I16</f>
        <v>0</v>
      </c>
      <c r="J17" s="46">
        <f>J6+J15</f>
        <v>995</v>
      </c>
      <c r="K17" s="43">
        <f t="shared" si="4"/>
        <v>0</v>
      </c>
      <c r="L17" s="43">
        <f t="shared" si="5"/>
        <v>4726.7</v>
      </c>
      <c r="M17" s="43">
        <f t="shared" ref="M17" si="13">K17-L17</f>
        <v>-4726.7</v>
      </c>
      <c r="N17" s="43" t="e">
        <f t="shared" si="12"/>
        <v>#DIV/0!</v>
      </c>
    </row>
    <row r="18" spans="1:14" s="8" customFormat="1" ht="55.5" customHeight="1">
      <c r="A18" s="47"/>
      <c r="B18" s="313" t="s">
        <v>131</v>
      </c>
      <c r="C18" s="313"/>
      <c r="D18" s="56"/>
      <c r="E18" s="301"/>
      <c r="F18" s="301"/>
      <c r="G18" s="56"/>
      <c r="H18" s="314" t="s">
        <v>242</v>
      </c>
      <c r="I18" s="314"/>
      <c r="J18" s="101"/>
      <c r="K18" s="47"/>
      <c r="L18" s="47"/>
      <c r="M18" s="47"/>
      <c r="N18" s="47"/>
    </row>
    <row r="19" spans="1:14" s="2" customFormat="1" ht="19.5" customHeight="1">
      <c r="A19" s="25"/>
      <c r="B19" s="25" t="s">
        <v>8</v>
      </c>
      <c r="C19" s="64"/>
      <c r="D19" s="64"/>
      <c r="E19" s="312" t="s">
        <v>244</v>
      </c>
      <c r="F19" s="312"/>
      <c r="G19" s="243"/>
      <c r="H19" s="300" t="s">
        <v>14</v>
      </c>
      <c r="I19" s="300"/>
      <c r="J19" s="243"/>
      <c r="K19" s="243"/>
      <c r="L19" s="25"/>
      <c r="M19" s="25"/>
      <c r="N19" s="25"/>
    </row>
    <row r="20" spans="1:14" s="303" customFormat="1" ht="19.149999999999999" customHeight="1">
      <c r="A20" s="302" t="s">
        <v>46</v>
      </c>
    </row>
    <row r="23" spans="1:14">
      <c r="B23" s="48"/>
    </row>
  </sheetData>
  <mergeCells count="15">
    <mergeCell ref="H19:I19"/>
    <mergeCell ref="E18:F18"/>
    <mergeCell ref="A1:M1"/>
    <mergeCell ref="A20:XFD20"/>
    <mergeCell ref="A3:A4"/>
    <mergeCell ref="K3:N3"/>
    <mergeCell ref="A17:B17"/>
    <mergeCell ref="B3:B4"/>
    <mergeCell ref="I3:J3"/>
    <mergeCell ref="G3:H3"/>
    <mergeCell ref="E3:F3"/>
    <mergeCell ref="C3:D3"/>
    <mergeCell ref="E19:F19"/>
    <mergeCell ref="B18:C18"/>
    <mergeCell ref="H18:I18"/>
  </mergeCells>
  <phoneticPr fontId="3" type="noConversion"/>
  <printOptions horizontalCentered="1"/>
  <pageMargins left="0.39370078740157483" right="0.39370078740157483" top="0.78740157480314965" bottom="0.39370078740157483" header="0.19685039370078741" footer="0.31496062992125984"/>
  <pageSetup paperSize="9" scale="65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9</vt:i4>
      </vt:variant>
    </vt:vector>
  </HeadingPairs>
  <TitlesOfParts>
    <vt:vector size="14" baseType="lpstr">
      <vt:lpstr>Звіт про виконання показ фінпла</vt:lpstr>
      <vt:lpstr>Розшифровка 1 до Формування</vt:lpstr>
      <vt:lpstr>Розшифровка 2 до формування</vt:lpstr>
      <vt:lpstr>Розшифровка кап</vt:lpstr>
      <vt:lpstr>Розшифровка за джерелами</vt:lpstr>
      <vt:lpstr>'Звіт про виконання показ фінпла'!Заголовки_для_друку</vt:lpstr>
      <vt:lpstr>'Розшифровка 1 до Формування'!Заголовки_для_друку</vt:lpstr>
      <vt:lpstr>'Розшифровка 2 до формування'!Заголовки_для_друку</vt:lpstr>
      <vt:lpstr>'Розшифровка кап'!Заголовки_для_друку</vt:lpstr>
      <vt:lpstr>'Звіт про виконання показ фінпла'!Область_друку</vt:lpstr>
      <vt:lpstr>'Розшифровка 1 до Формування'!Область_друку</vt:lpstr>
      <vt:lpstr>'Розшифровка 2 до формування'!Область_друку</vt:lpstr>
      <vt:lpstr>'Розшифровка за джерелами'!Область_друку</vt:lpstr>
      <vt:lpstr>'Розшифровка кап'!Область_друку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User</cp:lastModifiedBy>
  <cp:lastPrinted>2024-08-02T09:33:09Z</cp:lastPrinted>
  <dcterms:created xsi:type="dcterms:W3CDTF">2003-03-13T16:00:22Z</dcterms:created>
  <dcterms:modified xsi:type="dcterms:W3CDTF">2024-08-08T11:21:22Z</dcterms:modified>
</cp:coreProperties>
</file>